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OLSKA BEZ BARIER\_projekty pod fundację\208 Projekt TPN\POMOCNIK\"/>
    </mc:Choice>
  </mc:AlternateContent>
  <xr:revisionPtr revIDLastSave="0" documentId="13_ncr:1_{C8C2DC8E-DBF4-41E4-A143-53B28BA51D7B}" xr6:coauthVersionLast="47" xr6:coauthVersionMax="47" xr10:uidLastSave="{00000000-0000-0000-0000-000000000000}"/>
  <bookViews>
    <workbookView xWindow="-120" yWindow="-120" windowWidth="38640" windowHeight="15990" xr2:uid="{21888506-FAA1-4276-A024-F6234F63614E}"/>
  </bookViews>
  <sheets>
    <sheet name="Lista kontrol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9" i="1" l="1"/>
  <c r="D349" i="1"/>
  <c r="D348" i="1"/>
  <c r="B349" i="1"/>
  <c r="B348" i="1"/>
  <c r="A348" i="1"/>
  <c r="A349" i="1"/>
  <c r="D347" i="1"/>
  <c r="D346" i="1"/>
  <c r="D345" i="1"/>
  <c r="E344" i="1"/>
  <c r="D344" i="1"/>
  <c r="D343" i="1"/>
  <c r="D342" i="1"/>
  <c r="E331" i="1"/>
  <c r="B337" i="1"/>
  <c r="A337" i="1"/>
  <c r="A332" i="1"/>
  <c r="B332" i="1"/>
  <c r="D337" i="1"/>
  <c r="E336" i="1"/>
  <c r="D336" i="1"/>
  <c r="B336" i="1"/>
  <c r="B335" i="1"/>
  <c r="E335" i="1"/>
  <c r="D335" i="1"/>
  <c r="D334" i="1"/>
  <c r="B334" i="1"/>
  <c r="E334" i="1"/>
  <c r="D333" i="1"/>
  <c r="B333" i="1"/>
  <c r="E333" i="1"/>
  <c r="A336" i="1"/>
  <c r="A335" i="1"/>
  <c r="A334" i="1"/>
  <c r="A333" i="1"/>
  <c r="D332" i="1"/>
  <c r="E330" i="1"/>
  <c r="E329" i="1"/>
  <c r="E328" i="1"/>
  <c r="D331" i="1"/>
  <c r="D330" i="1"/>
  <c r="D329" i="1"/>
  <c r="D328" i="1"/>
  <c r="B331" i="1"/>
  <c r="B330" i="1"/>
  <c r="B329" i="1"/>
  <c r="B328" i="1"/>
  <c r="A328" i="1"/>
  <c r="A331" i="1"/>
  <c r="A330" i="1"/>
  <c r="A329" i="1"/>
  <c r="D327" i="1"/>
  <c r="B327" i="1"/>
  <c r="E326" i="1"/>
  <c r="D326" i="1"/>
  <c r="B326" i="1"/>
  <c r="A327" i="1"/>
  <c r="A326" i="1"/>
  <c r="A325" i="1"/>
  <c r="B325" i="1"/>
  <c r="D325" i="1"/>
  <c r="E323" i="1"/>
  <c r="D323" i="1"/>
  <c r="D324" i="1"/>
  <c r="B318" i="1"/>
  <c r="E318" i="1"/>
  <c r="D318" i="1"/>
  <c r="D317" i="1"/>
  <c r="B317" i="1"/>
  <c r="E316" i="1"/>
  <c r="E315" i="1"/>
  <c r="D315" i="1"/>
  <c r="E314" i="1"/>
  <c r="D316" i="1"/>
  <c r="D314" i="1"/>
  <c r="B316" i="1"/>
  <c r="B315" i="1"/>
  <c r="B314" i="1"/>
  <c r="E313" i="1"/>
  <c r="D313" i="1"/>
  <c r="B313" i="1"/>
  <c r="D312" i="1"/>
  <c r="A316" i="1"/>
  <c r="A315" i="1"/>
  <c r="A314" i="1"/>
  <c r="A313" i="1"/>
  <c r="B312" i="1"/>
  <c r="D311" i="1"/>
  <c r="B311" i="1"/>
  <c r="E311" i="1"/>
  <c r="B310" i="1"/>
  <c r="A318" i="1"/>
  <c r="A317" i="1"/>
  <c r="A312" i="1"/>
  <c r="A311" i="1"/>
  <c r="A310" i="1"/>
  <c r="E310" i="1"/>
  <c r="D310" i="1"/>
  <c r="D309" i="1"/>
  <c r="D308" i="1"/>
  <c r="E308" i="1"/>
  <c r="B301" i="1"/>
  <c r="B300" i="1"/>
  <c r="B298" i="1"/>
  <c r="A303" i="1"/>
  <c r="A302" i="1"/>
  <c r="A301" i="1"/>
  <c r="A300" i="1"/>
  <c r="A299" i="1"/>
  <c r="A298" i="1"/>
  <c r="A297" i="1"/>
  <c r="A295" i="1"/>
  <c r="A294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E303" i="1"/>
  <c r="E301" i="1"/>
  <c r="E299" i="1"/>
  <c r="E298" i="1"/>
  <c r="D302" i="1"/>
  <c r="D301" i="1"/>
  <c r="E300" i="1"/>
  <c r="D303" i="1"/>
  <c r="D299" i="1"/>
  <c r="D298" i="1"/>
  <c r="D297" i="1"/>
  <c r="B303" i="1"/>
  <c r="B302" i="1"/>
  <c r="B299" i="1"/>
  <c r="B297" i="1"/>
  <c r="A296" i="1"/>
  <c r="E296" i="1"/>
  <c r="D296" i="1"/>
  <c r="B296" i="1"/>
  <c r="E295" i="1"/>
  <c r="D295" i="1"/>
  <c r="B295" i="1"/>
  <c r="E294" i="1"/>
  <c r="D294" i="1"/>
  <c r="B294" i="1"/>
  <c r="A293" i="1"/>
  <c r="B293" i="1"/>
  <c r="E293" i="1"/>
  <c r="D293" i="1"/>
  <c r="E292" i="1"/>
  <c r="D292" i="1"/>
  <c r="B292" i="1"/>
  <c r="E291" i="1"/>
  <c r="D291" i="1"/>
  <c r="E290" i="1"/>
  <c r="D290" i="1"/>
  <c r="B291" i="1"/>
  <c r="E288" i="1"/>
  <c r="D287" i="1"/>
  <c r="E286" i="1"/>
  <c r="E285" i="1"/>
  <c r="D284" i="1"/>
  <c r="B284" i="1"/>
  <c r="B290" i="1"/>
  <c r="E289" i="1"/>
  <c r="D289" i="1"/>
  <c r="B289" i="1"/>
  <c r="D288" i="1"/>
  <c r="B288" i="1"/>
  <c r="E287" i="1"/>
  <c r="B287" i="1"/>
  <c r="D286" i="1"/>
  <c r="B286" i="1"/>
  <c r="D285" i="1"/>
  <c r="B285" i="1"/>
  <c r="E284" i="1"/>
  <c r="B257" i="1"/>
  <c r="B283" i="1"/>
  <c r="D283" i="1"/>
  <c r="E283" i="1"/>
  <c r="E277" i="1"/>
  <c r="D281" i="1"/>
  <c r="D279" i="1"/>
  <c r="D278" i="1"/>
  <c r="B282" i="1"/>
  <c r="B281" i="1"/>
  <c r="B278" i="1"/>
  <c r="D277" i="1"/>
  <c r="B277" i="1"/>
  <c r="E282" i="1"/>
  <c r="E281" i="1"/>
  <c r="E280" i="1"/>
  <c r="E279" i="1"/>
  <c r="E278" i="1"/>
  <c r="D282" i="1"/>
  <c r="D280" i="1"/>
  <c r="B280" i="1"/>
  <c r="B279" i="1"/>
  <c r="D276" i="1"/>
  <c r="D275" i="1"/>
  <c r="E275" i="1"/>
  <c r="E268" i="1"/>
  <c r="E267" i="1"/>
  <c r="E266" i="1"/>
  <c r="E265" i="1"/>
  <c r="E263" i="1"/>
  <c r="E262" i="1"/>
  <c r="E261" i="1"/>
  <c r="E260" i="1"/>
  <c r="E259" i="1"/>
  <c r="E258" i="1"/>
  <c r="E257" i="1"/>
  <c r="E256" i="1"/>
  <c r="E270" i="1"/>
  <c r="D270" i="1"/>
  <c r="D269" i="1"/>
  <c r="D268" i="1"/>
  <c r="D266" i="1"/>
  <c r="D265" i="1"/>
  <c r="D264" i="1"/>
  <c r="D263" i="1"/>
  <c r="D262" i="1"/>
  <c r="D261" i="1"/>
  <c r="D260" i="1"/>
  <c r="D259" i="1"/>
  <c r="D258" i="1"/>
  <c r="D257" i="1"/>
  <c r="D256" i="1"/>
  <c r="E255" i="1"/>
  <c r="D255" i="1"/>
  <c r="D254" i="1"/>
  <c r="E254" i="1"/>
  <c r="E253" i="1"/>
  <c r="D253" i="1"/>
  <c r="E252" i="1"/>
  <c r="E251" i="1"/>
  <c r="D252" i="1"/>
  <c r="D251" i="1"/>
  <c r="D250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6" i="1"/>
  <c r="B255" i="1"/>
  <c r="B254" i="1"/>
  <c r="B253" i="1"/>
  <c r="B252" i="1"/>
  <c r="B251" i="1"/>
  <c r="B250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D249" i="1"/>
  <c r="E248" i="1"/>
  <c r="D248" i="1"/>
  <c r="D243" i="1"/>
  <c r="E242" i="1"/>
  <c r="D242" i="1"/>
  <c r="E241" i="1"/>
  <c r="D241" i="1"/>
  <c r="E240" i="1"/>
  <c r="D240" i="1"/>
  <c r="D239" i="1"/>
  <c r="D238" i="1"/>
  <c r="E237" i="1"/>
  <c r="D237" i="1"/>
  <c r="E236" i="1"/>
  <c r="D236" i="1"/>
  <c r="E235" i="1"/>
  <c r="D235" i="1"/>
  <c r="D229" i="1"/>
  <c r="E227" i="1"/>
  <c r="D227" i="1"/>
  <c r="D225" i="1"/>
  <c r="D223" i="1"/>
  <c r="E220" i="1"/>
  <c r="D222" i="1"/>
  <c r="D221" i="1"/>
  <c r="D220" i="1"/>
  <c r="B222" i="1"/>
  <c r="B221" i="1"/>
  <c r="A222" i="1"/>
  <c r="A221" i="1"/>
  <c r="B220" i="1"/>
  <c r="A220" i="1"/>
  <c r="A228" i="1"/>
  <c r="B228" i="1"/>
  <c r="B226" i="1"/>
  <c r="A226" i="1"/>
  <c r="B224" i="1"/>
  <c r="A224" i="1"/>
  <c r="E226" i="1"/>
  <c r="D226" i="1"/>
  <c r="D224" i="1"/>
  <c r="D219" i="1"/>
  <c r="D218" i="1"/>
  <c r="E230" i="1"/>
  <c r="D230" i="1"/>
  <c r="B230" i="1"/>
  <c r="A230" i="1"/>
  <c r="D228" i="1"/>
  <c r="B229" i="1"/>
  <c r="A229" i="1"/>
  <c r="B227" i="1"/>
  <c r="A227" i="1"/>
  <c r="B225" i="1"/>
  <c r="A225" i="1"/>
  <c r="B223" i="1"/>
  <c r="A223" i="1"/>
  <c r="A219" i="1"/>
  <c r="B219" i="1"/>
  <c r="B218" i="1"/>
  <c r="A218" i="1"/>
  <c r="D217" i="1"/>
  <c r="D212" i="1"/>
  <c r="D211" i="1"/>
  <c r="E210" i="1"/>
  <c r="D210" i="1"/>
  <c r="D209" i="1"/>
  <c r="B212" i="1"/>
  <c r="A212" i="1"/>
  <c r="B211" i="1"/>
  <c r="A211" i="1"/>
  <c r="B210" i="1"/>
  <c r="A210" i="1"/>
  <c r="B209" i="1"/>
  <c r="A209" i="1"/>
  <c r="D203" i="1"/>
  <c r="D202" i="1"/>
  <c r="D201" i="1"/>
  <c r="E200" i="1"/>
  <c r="D200" i="1"/>
  <c r="D199" i="1"/>
  <c r="D193" i="1"/>
  <c r="D192" i="1"/>
  <c r="D191" i="1"/>
  <c r="E190" i="1"/>
  <c r="D190" i="1"/>
  <c r="D189" i="1"/>
  <c r="B203" i="1"/>
  <c r="B202" i="1"/>
  <c r="B201" i="1"/>
  <c r="B200" i="1"/>
  <c r="B199" i="1"/>
  <c r="A203" i="1"/>
  <c r="A202" i="1"/>
  <c r="A201" i="1"/>
  <c r="A200" i="1"/>
  <c r="A199" i="1"/>
  <c r="B193" i="1"/>
  <c r="B192" i="1"/>
  <c r="B191" i="1"/>
  <c r="B190" i="1"/>
  <c r="A193" i="1"/>
  <c r="A192" i="1"/>
  <c r="A191" i="1"/>
  <c r="A190" i="1"/>
  <c r="B189" i="1"/>
  <c r="A189" i="1"/>
  <c r="D208" i="1"/>
  <c r="D198" i="1"/>
  <c r="D98" i="1"/>
  <c r="D155" i="1"/>
  <c r="D188" i="1"/>
  <c r="E183" i="1"/>
  <c r="D183" i="1"/>
  <c r="B183" i="1"/>
  <c r="A183" i="1"/>
  <c r="D182" i="1"/>
  <c r="D181" i="1"/>
  <c r="D180" i="1"/>
  <c r="E179" i="1"/>
  <c r="D179" i="1"/>
  <c r="E178" i="1"/>
  <c r="D178" i="1"/>
  <c r="D176" i="1"/>
  <c r="B177" i="1"/>
  <c r="A177" i="1"/>
  <c r="E177" i="1"/>
  <c r="D177" i="1"/>
  <c r="E175" i="1"/>
  <c r="D175" i="1"/>
  <c r="E174" i="1"/>
  <c r="D174" i="1"/>
  <c r="D120" i="1"/>
  <c r="D163" i="1"/>
  <c r="A164" i="1"/>
  <c r="A163" i="1"/>
  <c r="E169" i="1"/>
  <c r="D169" i="1"/>
  <c r="D168" i="1"/>
  <c r="E167" i="1"/>
  <c r="D167" i="1"/>
  <c r="D166" i="1"/>
  <c r="E165" i="1"/>
  <c r="D165" i="1"/>
  <c r="E164" i="1"/>
  <c r="D164" i="1"/>
  <c r="B164" i="1"/>
  <c r="E163" i="1"/>
  <c r="B163" i="1"/>
  <c r="E157" i="1"/>
  <c r="D157" i="1"/>
  <c r="E156" i="1"/>
  <c r="D156" i="1"/>
  <c r="E155" i="1"/>
  <c r="E154" i="1"/>
  <c r="D154" i="1"/>
  <c r="E153" i="1"/>
  <c r="D153" i="1"/>
  <c r="E152" i="1"/>
  <c r="D152" i="1"/>
  <c r="E151" i="1"/>
  <c r="E150" i="1"/>
  <c r="D150" i="1"/>
  <c r="D149" i="1"/>
  <c r="E148" i="1"/>
  <c r="D148" i="1"/>
  <c r="E147" i="1"/>
  <c r="D147" i="1"/>
  <c r="E146" i="1"/>
  <c r="D146" i="1"/>
  <c r="E145" i="1"/>
  <c r="D145" i="1"/>
  <c r="E144" i="1"/>
  <c r="D144" i="1"/>
  <c r="D143" i="1"/>
  <c r="E142" i="1"/>
  <c r="E141" i="1"/>
  <c r="D141" i="1"/>
  <c r="E140" i="1"/>
  <c r="D140" i="1"/>
  <c r="E135" i="1"/>
  <c r="D135" i="1"/>
  <c r="E134" i="1"/>
  <c r="E133" i="1"/>
  <c r="E132" i="1"/>
  <c r="D132" i="1"/>
  <c r="E131" i="1"/>
  <c r="D131" i="1"/>
  <c r="E130" i="1"/>
  <c r="D130" i="1"/>
  <c r="D129" i="1"/>
  <c r="E128" i="1"/>
  <c r="D128" i="1"/>
  <c r="E127" i="1"/>
  <c r="D127" i="1"/>
  <c r="E126" i="1"/>
  <c r="D126" i="1"/>
  <c r="E125" i="1"/>
  <c r="D125" i="1"/>
  <c r="D115" i="1"/>
  <c r="E114" i="1"/>
  <c r="D114" i="1"/>
  <c r="E113" i="1"/>
  <c r="D113" i="1"/>
  <c r="E112" i="1"/>
  <c r="D112" i="1"/>
  <c r="E111" i="1"/>
  <c r="D111" i="1"/>
  <c r="E110" i="1"/>
  <c r="D110" i="1"/>
  <c r="D109" i="1"/>
  <c r="E108" i="1"/>
  <c r="D108" i="1"/>
  <c r="E107" i="1"/>
  <c r="D107" i="1"/>
  <c r="E106" i="1"/>
  <c r="D106" i="1"/>
  <c r="D105" i="1"/>
  <c r="E100" i="1"/>
  <c r="D100" i="1"/>
  <c r="E99" i="1"/>
  <c r="D99" i="1"/>
  <c r="E97" i="1"/>
  <c r="E98" i="1"/>
  <c r="D97" i="1"/>
  <c r="E96" i="1"/>
  <c r="D96" i="1"/>
  <c r="E95" i="1"/>
  <c r="D95" i="1"/>
  <c r="E94" i="1"/>
  <c r="E93" i="1"/>
  <c r="D93" i="1"/>
  <c r="D92" i="1"/>
  <c r="E91" i="1"/>
  <c r="D91" i="1"/>
  <c r="E90" i="1"/>
  <c r="D90" i="1"/>
  <c r="E89" i="1"/>
  <c r="D89" i="1"/>
  <c r="E88" i="1"/>
  <c r="D88" i="1"/>
  <c r="E87" i="1"/>
  <c r="D87" i="1"/>
  <c r="D86" i="1"/>
  <c r="E85" i="1"/>
  <c r="E84" i="1"/>
  <c r="D84" i="1"/>
  <c r="E83" i="1"/>
  <c r="D83" i="1"/>
  <c r="E78" i="1"/>
  <c r="D78" i="1"/>
  <c r="D77" i="1"/>
  <c r="D36" i="1"/>
  <c r="D33" i="1"/>
  <c r="D14" i="1"/>
  <c r="E76" i="1"/>
  <c r="D76" i="1"/>
  <c r="D75" i="1"/>
  <c r="E74" i="1"/>
  <c r="D74" i="1"/>
  <c r="E73" i="1"/>
  <c r="D73" i="1"/>
  <c r="B73" i="1"/>
  <c r="A73" i="1"/>
  <c r="E72" i="1"/>
  <c r="D72" i="1"/>
  <c r="B72" i="1"/>
  <c r="A72" i="1"/>
  <c r="E50" i="1"/>
  <c r="D26" i="1"/>
  <c r="D25" i="1"/>
  <c r="D24" i="1"/>
  <c r="D23" i="1"/>
  <c r="E66" i="1"/>
  <c r="E65" i="1"/>
  <c r="E61" i="1"/>
  <c r="D61" i="1"/>
  <c r="E64" i="1"/>
  <c r="D64" i="1"/>
  <c r="E63" i="1"/>
  <c r="D63" i="1"/>
  <c r="E62" i="1"/>
  <c r="D62" i="1"/>
  <c r="D60" i="1"/>
  <c r="E60" i="1"/>
  <c r="E59" i="1"/>
  <c r="D59" i="1"/>
  <c r="E58" i="1"/>
  <c r="D58" i="1"/>
  <c r="E57" i="1"/>
  <c r="D57" i="1"/>
  <c r="E52" i="1"/>
  <c r="D52" i="1"/>
  <c r="E51" i="1"/>
  <c r="E49" i="1"/>
  <c r="D49" i="1"/>
  <c r="E48" i="1"/>
  <c r="D48" i="1"/>
  <c r="E47" i="1"/>
  <c r="D47" i="1"/>
  <c r="E46" i="1"/>
  <c r="D46" i="1"/>
  <c r="D45" i="1"/>
  <c r="E44" i="1"/>
  <c r="D44" i="1"/>
  <c r="E43" i="1"/>
  <c r="D43" i="1"/>
  <c r="E42" i="1"/>
  <c r="D42" i="1"/>
  <c r="E41" i="1"/>
  <c r="D41" i="1"/>
  <c r="E35" i="1"/>
  <c r="D35" i="1"/>
  <c r="D34" i="1"/>
  <c r="E34" i="1"/>
  <c r="E33" i="1"/>
  <c r="E28" i="1"/>
  <c r="D28" i="1"/>
  <c r="E27" i="1"/>
  <c r="D27" i="1"/>
  <c r="E26" i="1"/>
  <c r="E25" i="1"/>
  <c r="E24" i="1"/>
  <c r="E23" i="1"/>
  <c r="E18" i="1"/>
  <c r="E17" i="1"/>
  <c r="E16" i="1"/>
  <c r="D15" i="1"/>
  <c r="E15" i="1"/>
  <c r="D18" i="1"/>
  <c r="D17" i="1"/>
  <c r="D16" i="1"/>
  <c r="E14" i="1"/>
  <c r="D9" i="1"/>
  <c r="D8" i="1"/>
  <c r="D7" i="1"/>
  <c r="D6" i="1"/>
</calcChain>
</file>

<file path=xl/sharedStrings.xml><?xml version="1.0" encoding="utf-8"?>
<sst xmlns="http://schemas.openxmlformats.org/spreadsheetml/2006/main" count="733" uniqueCount="340">
  <si>
    <t>1.</t>
  </si>
  <si>
    <t>2.</t>
  </si>
  <si>
    <t>3.</t>
  </si>
  <si>
    <t>4.</t>
  </si>
  <si>
    <t>5.</t>
  </si>
  <si>
    <t>Pytanie</t>
  </si>
  <si>
    <t>Odpowiedź</t>
  </si>
  <si>
    <t>Najbliższy przystanek komunikacji publicznej (tramwaj / autobus / bus) znajduje się w odległości do 500 m od obiektu.</t>
  </si>
  <si>
    <t>tak</t>
  </si>
  <si>
    <t>nie</t>
  </si>
  <si>
    <t>nie dotyczy</t>
  </si>
  <si>
    <t>Chodnik prowadzący od przystanków do budynku ma szerokość co najmniej 1,50 m i jest w dobrym stanie (bez ubytków, nierówności).</t>
  </si>
  <si>
    <t>Chodnik prowadzący od przystanków do budynku ma równą i antypoślizgową nawierzchnię.</t>
  </si>
  <si>
    <t>Na chodniku prowadzącym od przystanków do budynku nie ma stopni, schodów, uskoków ani wysokich krawężników, które trzeba pokonać.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</si>
  <si>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</si>
  <si>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</si>
  <si>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</si>
  <si>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</si>
  <si>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</si>
  <si>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</si>
  <si>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</si>
  <si>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</si>
  <si>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</si>
  <si>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</si>
  <si>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</si>
  <si>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</si>
  <si>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Rekomendacja do wdrożenia od razu</t>
  </si>
  <si>
    <t>Rekomendacja do wdrożenia w przyszłości</t>
  </si>
  <si>
    <t>Miejsce postojowe dla osób z niepełnosprawnościami jest szersze od pozostałych (szerokość 3,6 m).</t>
  </si>
  <si>
    <t>Miejsce postojowe dla osób z niepełnosprawnościami jest oznaczone na niebiesko, z piktogramem osoby na wózku i znakiem pionowym z tabliczką z osobą na wózku.</t>
  </si>
  <si>
    <t>Miejsce postojowe dla osób z niepełnosprawnościami jest blisko wejścia do budynku.</t>
  </si>
  <si>
    <t>Z miejsca postojowego można dostać się wygodnie do budynku – nie trzeba pokonywać wysokich krawężników albo stopni a chodnik jest szeroki, równy i w dobrym stanie.</t>
  </si>
  <si>
    <t>18.</t>
  </si>
  <si>
    <t>Przy obiekcie znajduje się własny parking, na którym są miejsca postojowe dla osób z niepełnosprawnościami.</t>
  </si>
  <si>
    <t>Chodnik prowadzący do budynku ma szerokość co najmniej 1,5 m.</t>
  </si>
  <si>
    <t>Sprawdź, czy możliwe jest jego poszerzenie do co najmniej 1,5 m a najlepiej – do 1,8 m (to szerokość, która pozwala na swobodne minięcie się dwóch osób na wózkach lub z wózkami). Jeśli tak – zaplanuj takie prace.</t>
  </si>
  <si>
    <t>Na dojściu do budynku nie ma barier architektonicznych (wysokich krawężników, stopni, uskoków większych niż 2 cm).</t>
  </si>
  <si>
    <t>Nawierzchnia chodnika prowadzącego do budynku jest w dobrym stanie (bez ubytków, nierówności, dziur).</t>
  </si>
  <si>
    <t>Wszystkie furtki i bramy prowadzące na teren i do budynku (jeśli się znajdują) mają szerokość co najmniej 90 cm.</t>
  </si>
  <si>
    <t>Wejście do budynku jest łatwe do odnalezienia – znajduje się z przodu budynku, nie z tyłu albo z boku.</t>
  </si>
  <si>
    <t>Budynek jest czytelnie oznakowany tablicą informacyjną z nazwą albo funkcją.</t>
  </si>
  <si>
    <t>Wejście do obiektu</t>
  </si>
  <si>
    <t>19.</t>
  </si>
  <si>
    <t>Główne wejście do budynku zapewnia dostęp dla osób, które nie mogą poruszać się po schodach.</t>
  </si>
  <si>
    <t>Podaj informację o tym, jak wygląda główne wejście, w opisie dostępności budynku – dodaj jego fotografię.</t>
  </si>
  <si>
    <t>Jeśli główne wejście nie jest dostępne, jakieś inne wejście zapewnia dostęp dla osób, które nie mogą poruszać się po schodach.</t>
  </si>
  <si>
    <t>Podaj informację o tym, jak wygląda główne wejście, w opisie dostępności budynku – dodaj jego fotografię. 
Przejdź do pytania 19.</t>
  </si>
  <si>
    <t>Jeśli główne wejście nie jest dostępne, dojście do wejścia dostępnego jest wyraźnie oznaczone, np. strzałką i piktogramem albo opisem.</t>
  </si>
  <si>
    <t>Jak można wejść do budynku?</t>
  </si>
  <si>
    <t xml:space="preserve">za pomocą schodów i pochylni </t>
  </si>
  <si>
    <t xml:space="preserve">za pomocą schodów i podnośnika </t>
  </si>
  <si>
    <t xml:space="preserve">za pomocą schodów i windy </t>
  </si>
  <si>
    <t>tylko schodami</t>
  </si>
  <si>
    <t xml:space="preserve">z poziomu terenu </t>
  </si>
  <si>
    <t xml:space="preserve">Przejdź do pytania numer 20. 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</si>
  <si>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</si>
  <si>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</si>
  <si>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</si>
  <si>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</si>
  <si>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</si>
  <si>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</si>
  <si>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</si>
  <si>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</si>
  <si>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</si>
  <si>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</si>
  <si>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</si>
  <si>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W jednym biegu jest maksymalnie 10 stopni.</t>
  </si>
  <si>
    <t>Schody mają szerokość co najmniej 1,20 m.</t>
  </si>
  <si>
    <t>Wszystkie stopnie w biegu mają taką samą szerokość i taką samą wysokość.</t>
  </si>
  <si>
    <t>Szerokość stopnia wynosi co najmniej 0,35 m.</t>
  </si>
  <si>
    <t>Stopnie są oznaczone kontrastowymi pasami na krawędzi (co najmniej pierwszy i ostatni stopień albo wszystkie stopnie).</t>
  </si>
  <si>
    <t>Stopnie nie mają nosków.</t>
  </si>
  <si>
    <t>Stopnie są pełne, nie ażurowe.</t>
  </si>
  <si>
    <t>Jeśli schody prowadzą na wysokość powyżej 0,5 m mają balustrady lub inne zabezpieczenia od strony przestrzeni otwartej, a wysokość tych zabezpieczeń to co najmniej 1,1 m.</t>
  </si>
  <si>
    <t>Jeśli schody są szersze niż 4 m mają dodatkową balustradę pośrednią.</t>
  </si>
  <si>
    <t>Poręcze są przedłużone o co najmniej 30 cm poza długość schodów (na dole i na górze).</t>
  </si>
  <si>
    <t>Poręcze są zakończone w sposób zapewniający ich bezpieczne użytkowanie (np. wywinięte w dół).</t>
  </si>
  <si>
    <t xml:space="preserve">Oprócz schodów w wejściu znajduje się też: </t>
  </si>
  <si>
    <t xml:space="preserve">31. </t>
  </si>
  <si>
    <t>Przejdź do pytania numer 32.</t>
  </si>
  <si>
    <t>Przejdź do pytania numer 42.</t>
  </si>
  <si>
    <t>Przejdź do pytania numer 50.</t>
  </si>
  <si>
    <t xml:space="preserve">W opisie dostępności budynku podaj informację o tym, jak wyglądają wejścia – dodaj ich fotografie. </t>
  </si>
  <si>
    <t>pochylnia</t>
  </si>
  <si>
    <t xml:space="preserve">podnośnik </t>
  </si>
  <si>
    <t xml:space="preserve">winda </t>
  </si>
  <si>
    <t>w wejściu są tylko schody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</si>
  <si>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</si>
  <si>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</si>
  <si>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</si>
  <si>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</si>
  <si>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</si>
  <si>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</si>
  <si>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</si>
  <si>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</si>
  <si>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</si>
  <si>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</si>
  <si>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</si>
  <si>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Przed początkiem i za końcem pochylni znajduje się przestrzeń manewrowa o wymiarach co najmniej 1,5 x 1,5 m.</t>
  </si>
  <si>
    <t>Pochylnia ma co najmniej 1,2 m szerokości.</t>
  </si>
  <si>
    <t>Długość jednego biegu pochylni nie przekracza 9 m.</t>
  </si>
  <si>
    <t>Pochylnia ma krawężniki o wysokości co najmniej 7 cm albo inne elementy, które nie pozwalają na zsunięcie się z niej wózka.</t>
  </si>
  <si>
    <t>Pochylnia ma po dwie poręcze po obydwu stronach biegu.</t>
  </si>
  <si>
    <t>Odstęp pomiędzy poręczami ma 1-1,1 m.</t>
  </si>
  <si>
    <t>Poręcze znajdują się na wysokości 90 cm i 75 cm od poziomu pochylni.</t>
  </si>
  <si>
    <t>Żadne elementy nie zawężają szerokości pochylni (rośliny, wystające elementy budynku).</t>
  </si>
  <si>
    <t>Poręcze są przedłużone o co najmniej 30 cm poza długość pochylni.</t>
  </si>
  <si>
    <t>Jak porusza się podnośnik?</t>
  </si>
  <si>
    <t xml:space="preserve">pionowo w górę i w dół </t>
  </si>
  <si>
    <t>ukośnie, wzdłuż schodów</t>
  </si>
  <si>
    <t>45.</t>
  </si>
  <si>
    <t>46.</t>
  </si>
  <si>
    <t>47.</t>
  </si>
  <si>
    <t>48.</t>
  </si>
  <si>
    <t>49.</t>
  </si>
  <si>
    <t>50.</t>
  </si>
  <si>
    <t>Przed wejściem i po zejściu z platformy podnośnika jest przestrzeń manewrowa o wymiarach 1,5 x 1,5 m.</t>
  </si>
  <si>
    <t>Sprawdź, jaki jest udźwig tego konkretnego modelu podnośnika i podaj informację o nim – powinna się ona znaleźć i w opisie dostępności budynku, i przy samym podnośniku.</t>
  </si>
  <si>
    <t>Udźwig podnośnika wynosi co najmniej 300 kg.</t>
  </si>
  <si>
    <t xml:space="preserve">Podaj informację o udźwigu podnośnika – powinna się ona znaleźć i w opisie dostępności budynku, i przy samym podnośniku. </t>
  </si>
  <si>
    <t>Udźwig podnośnika został podany na urządzeniu lub zaraz obok niego.</t>
  </si>
  <si>
    <t>Podnośnik ma czytelną i zrozumiałą instrukcję obsługi.</t>
  </si>
  <si>
    <t>Podnośnik może być obsługiwany  samodzielnie przez użytkownika (skorzystanie z niego nie wymaga pomocy innych osób).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</si>
  <si>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</si>
  <si>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</si>
  <si>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</si>
  <si>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</si>
  <si>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</si>
  <si>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</si>
  <si>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</si>
  <si>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</si>
  <si>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</si>
  <si>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</si>
  <si>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</si>
  <si>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</si>
  <si>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</si>
  <si>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</si>
  <si>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</si>
  <si>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</si>
  <si>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</si>
  <si>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Zewnętrzny panel sterujący (tablica przyzywowa) znajduje się na wysokości 0,8-1,1 m od podłogi.</t>
  </si>
  <si>
    <t>Tablica przyzywowa ma przyciski klawiszowe, wystające poza powierzchnię panelu.</t>
  </si>
  <si>
    <t>Tablica przyzywowa ma oznaczenia wypukłe / brajlowskie.</t>
  </si>
  <si>
    <t>Drzwi do kabiny windy są skontrastowane w stosunku o ściany, w której się znajdują (łatwe do zauważenia).</t>
  </si>
  <si>
    <t>Drzwi do windy mają szerokość co najmniej 90 cm.</t>
  </si>
  <si>
    <t>Drzwi do windy otwierają i zamykają się automatycznie.</t>
  </si>
  <si>
    <t>Drzwi do windy mają system zatrzymujący zamykanie, oparty na czujnikach.</t>
  </si>
  <si>
    <t>Kabina ma wymiary wewnętrzne co najmniej 1,1 m szerokości i 1,4 m długości.</t>
  </si>
  <si>
    <t>Jeśli kabina jest nieprzelotowa, na wprost wejścia na całej ścianie znajduje się lustro (nie tylko na wysokości od połowy kabiny).</t>
  </si>
  <si>
    <t>W kabinie jest przynajmniej jedna poręcz na wysokości ok. 90 cm.</t>
  </si>
  <si>
    <t>Panel sterujący w kabinie jest  na wysokości 0,8-1,1 m od podłogi.</t>
  </si>
  <si>
    <t>Panel sterujący w kabinie ma oznaczenia wypukłe / brajlowskie.</t>
  </si>
  <si>
    <t>W windzie jest alarm na wypadek awarii.</t>
  </si>
  <si>
    <t>Informacja o numerze piętra jest wyświetlana.</t>
  </si>
  <si>
    <t>Informacja o numerze piętra jest podawana głosowo.</t>
  </si>
  <si>
    <t>Informacja o kierunku jazdy jest wyświetlana.</t>
  </si>
  <si>
    <t xml:space="preserve">Informacja o kierunku jazdy jest podawana głosowo. </t>
  </si>
  <si>
    <t>W opisie dostępności budynku podaj informację o tym, w jaki sposób podawana jest informacja o otwieraniu drzwi (np. głosowo – komunikat „drzwi się otwierają”, dźwiękowo – pojedynczy sygnał itp.).</t>
  </si>
  <si>
    <t>68.</t>
  </si>
  <si>
    <t>Przejdź do pytania numer 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</si>
  <si>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</si>
  <si>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</si>
  <si>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</si>
  <si>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</si>
  <si>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</si>
  <si>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</si>
  <si>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</si>
  <si>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</si>
  <si>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</si>
  <si>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</si>
  <si>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Przed drzwiami nie ma żadnych wystających kratek, wycieraczek ani skrobaczek, o które można się potknąć.</t>
  </si>
  <si>
    <t>Wszystkie domofony, dzwonki, przyciski i włączniki zamontowano na wysokości 0,8-1,1 m od poziomu posadzki.</t>
  </si>
  <si>
    <t>Drzwi wejściowe mają szerokość co najmniej 90 cm.</t>
  </si>
  <si>
    <t>Próg ma wysokość do 2 cm.</t>
  </si>
  <si>
    <t>Drzwi wejściowe otwierają się automatycznie.</t>
  </si>
  <si>
    <t>Otwarcie drzwi nie wymaga znacznej siły.</t>
  </si>
  <si>
    <t>Klamka w drzwiach jest skontrastowana w stosunku do barwy drzwi (łatwa do zauważenia).</t>
  </si>
  <si>
    <t>Jeśli do budynku prowadzą drzwi wahadłowe lub obrotowe, obok nich są drzwi rozwierane albo rozsuwane.</t>
  </si>
  <si>
    <t>Upewnij się, że drzwi rozwierane / rozsuwane są łatwe do zauważenia – jeśli nie są, dodaj oznaczenia, np. strzałki kierunkowe. Niezależnie od tego w opisie dostępności budynku podaj informację o tym, gdzie znajdują się drzwi rozwierane / rozsuwane (np. „na lewo od drzwi obrotowych znajdują się drzwi rozwierane”).</t>
  </si>
  <si>
    <t>Przed drzwiami wejściowymi jest przestrzeń manewrowa dla wózka o wymiarach co najmniej 1,5 x 1,5 m.</t>
  </si>
  <si>
    <t>Jeśli strefę wejściową zawężają meble lub elementy wyposażenia, usuń je. Jeśli strefa wejściowa jest mniejsza z uwagi na układ elementów stałych (np. ścian), w opisie dostępności budynku podaj informację o tym, jak wygląda strefa wejściowa i ile jest w niej miejsca na manewrowanie wózkiem.</t>
  </si>
  <si>
    <t>Za drzwiami wejściowymi jest przestrzeń manewrowa dla wózka o wymiarach co najmniej 1,5 x 1,5 m.</t>
  </si>
  <si>
    <t>Jeśli drzwi są szklane lub mają duże przeszklenia, przeźroczyste elementy są oznaczone przynajmniej dwoma pasami kontrastowymi na wysokości 0,9-1 m i 1,3-1,4 m.</t>
  </si>
  <si>
    <t>Komunikacja w budynku</t>
  </si>
  <si>
    <t>79.</t>
  </si>
  <si>
    <t>Budynek jest parterowy (nie ma ani wyższych ani niższych pięter).</t>
  </si>
  <si>
    <t>Komunikacja między piętrami – schody wewnętrzne</t>
  </si>
  <si>
    <t>Strefa wejściowa – drzwi do budynku</t>
  </si>
  <si>
    <t>Strefa wejściowa – winda</t>
  </si>
  <si>
    <t>Strefa wejściowa – podnośnik</t>
  </si>
  <si>
    <t>Strefa wejściowa – pochylnia</t>
  </si>
  <si>
    <t>Strefa wejściowa – schody zewnętrzne</t>
  </si>
  <si>
    <t>Możliwość dotarcia do budynku – dojście do obiektu (chodnik na terenie obiektu)</t>
  </si>
  <si>
    <t>Możliwość dotarcia do budynku – parking</t>
  </si>
  <si>
    <t>Możliwość dotarcia do budynku – komunikacja publiczna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</si>
  <si>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</si>
  <si>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</si>
  <si>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</si>
  <si>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</si>
  <si>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</si>
  <si>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</si>
  <si>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</si>
  <si>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</si>
  <si>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</si>
  <si>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</si>
  <si>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</si>
  <si>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W jednym biegu jest maksymalnie 17 stopni.</t>
  </si>
  <si>
    <t>Wysokość stopnia wynosi nie więcej niż 17,5 cm.</t>
  </si>
  <si>
    <t>Stopnie nie są ażurowe.</t>
  </si>
  <si>
    <t>Schody mają poręcze po obydwu stronach.</t>
  </si>
  <si>
    <t>Poręcze są przedłużone o co najmniej 30 cm poza schody (na górze i na dole biegu).</t>
  </si>
  <si>
    <t xml:space="preserve">Schody w budynku można ominąć: </t>
  </si>
  <si>
    <t>windą</t>
  </si>
  <si>
    <t>podnośnikiem pionowym albo ukośnym</t>
  </si>
  <si>
    <t>innymi rozwiązaniami (np. schodołazem)</t>
  </si>
  <si>
    <t>W opisie dostępności budynku podaj informację o tym, jakie rozwiązania zapewniające możliwość pokonania schodów znajdują się w budynku – opisz je i dodaj fotografie.</t>
  </si>
  <si>
    <t>nie można ich ominąć</t>
  </si>
  <si>
    <t>W opisie dostępności budynku podaj informację o tym, że jedyną komunikację między piętrami stanowią schody.</t>
  </si>
  <si>
    <t>Przejdź do pytania 91.</t>
  </si>
  <si>
    <t>Informacja o otwieraniu drzwi jest podawana dźwiękowo lub głosowo (sygnał dźwiękowy lub komunikat słowny).</t>
  </si>
  <si>
    <t>Komunikacja między piętrami – winda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</si>
  <si>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</si>
  <si>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</si>
  <si>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</si>
  <si>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</si>
  <si>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</si>
  <si>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</si>
  <si>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</si>
  <si>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</si>
  <si>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</si>
  <si>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</si>
  <si>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</si>
  <si>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</si>
  <si>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</si>
  <si>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</si>
  <si>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</si>
  <si>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</si>
  <si>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</si>
  <si>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</si>
  <si>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Przejdź do pytania 109.</t>
  </si>
  <si>
    <t>Komunikacja między piętrami – podnośnik</t>
  </si>
  <si>
    <t>109.</t>
  </si>
  <si>
    <t>112.</t>
  </si>
  <si>
    <t>113.</t>
  </si>
  <si>
    <t>114.</t>
  </si>
  <si>
    <t>115.</t>
  </si>
  <si>
    <t>116.</t>
  </si>
  <si>
    <t>Komunikacja pozioma – korytarze</t>
  </si>
  <si>
    <t xml:space="preserve">117. </t>
  </si>
  <si>
    <t>Korytarze mają szerokość co najmniej 1,2 m (na fragmentach o długości do 50 cm mogą się zwężać do szerokości 90 cm).</t>
  </si>
  <si>
    <t xml:space="preserve">118. </t>
  </si>
  <si>
    <t xml:space="preserve">119. </t>
  </si>
  <si>
    <t xml:space="preserve">121. </t>
  </si>
  <si>
    <t xml:space="preserve">122. </t>
  </si>
  <si>
    <t xml:space="preserve">123. </t>
  </si>
  <si>
    <t xml:space="preserve">124. </t>
  </si>
  <si>
    <t xml:space="preserve">125. </t>
  </si>
  <si>
    <t>W przypadku zmiany kierunku korytarza o 90 stopni jest w nim przestrzeń wystarczająca do manewru wózkiem (co najmniej 1,5 x 1,5 m).</t>
  </si>
  <si>
    <t>Każda kondygnacja jest na jednym poziomie (nie ma żadnych zmian poziomów ani pojedynczych stopni).</t>
  </si>
  <si>
    <t>Podłogi nie odbijają światła (nie błyszczą się).</t>
  </si>
  <si>
    <t>Ściany nie odbijają światła.</t>
  </si>
  <si>
    <t>Jeśli na ścianach znajduje się duża ilość luster i to one odbijają światło, usuń je lub zasłoń. Jeśli światło odbijają ściany (np. farba jest bardzo błyszcząca, podaj informację o tym w opisie dostępności (to istotne np. dla osób z niepełnosprawnościami wzroku i neuroatypowych).</t>
  </si>
  <si>
    <t>Ściany i podłogi są ze sobą skontrastowane lub na ścianach są listwy przypodłogowe / cokoły w kontrastowym kolorze.</t>
  </si>
  <si>
    <t>Meble i elementy wyposażenia nie utrudniają poruszania się w korytarzach.</t>
  </si>
  <si>
    <t>Wykładziny, dywany i wycieraczki (jeśli są na podłogach) są na stałe przymocowane do podłoża.</t>
  </si>
  <si>
    <t>nie dotyczy (nie ma żadnych wycieraczek, wykładzin i dywanów)</t>
  </si>
  <si>
    <t>Pomieszczenia w budynku – recepcja</t>
  </si>
  <si>
    <t>127.</t>
  </si>
  <si>
    <t>W obiekcie znajduje się recepcja.</t>
  </si>
  <si>
    <t>Jeśli problemem jest wysokość lady, sprawdź, czy możliwa jest wymiana krzesła osoby pracującej na wyższe, np. barowe. Jeśli nie jest to możliwe albo problem z widocznością wynika z innych kwestii, zastanów się, czy możliwe jest przearanżowanie stanowiska w taki sposób, aby osoba za ladą była widoczna i dla osób stojących, i dla osób siedzących albo niskiego wzrostu</t>
  </si>
  <si>
    <t>Pomieszczenia w budynku – punkt informacyjny</t>
  </si>
  <si>
    <t>W obiekcie znajduje się punkt informacyjny</t>
  </si>
  <si>
    <t>133.</t>
  </si>
  <si>
    <t>Pomieszczenia w budynku – poczekalnia</t>
  </si>
  <si>
    <t>139.</t>
  </si>
  <si>
    <t>W budynku znajduje się poczekalnia.</t>
  </si>
  <si>
    <t>144.</t>
  </si>
  <si>
    <t>Pomieszczenia w budynku – szatnia/przebieralnia</t>
  </si>
  <si>
    <t>W budynku znajduje się szatnia/przebieralnia</t>
  </si>
  <si>
    <t>Pomieszczenia w budynku – inne pomieszczenia, w których przebywają klienci/goście</t>
  </si>
  <si>
    <t>Jeśli problemem jest wysokość lady, sprawdź, czy możliwa jest wymiana krzesła osoby pracującej na wyższe, np. barowe. Jeśli nie jest to możliwe albo problem z widocznością wynika z innych kwestii, zastanów się, czy możliwe jest przearanżowanie stanowiska w taki sposób, aby osoba za ladą była widoczna i dla osób stojących, i dla osób siedzących albo niskiego wzrostu.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</si>
  <si>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</si>
  <si>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</si>
  <si>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</si>
  <si>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</si>
  <si>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</si>
  <si>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</si>
  <si>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</si>
  <si>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</si>
  <si>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</si>
  <si>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</si>
  <si>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Przed wejściem do każdego pomieszczenia, w którym przebywają klienci/goście, jest przestrzeń manewrowa o wymiarach co najmniej 1,5 x 1,5 m.</t>
  </si>
  <si>
    <t xml:space="preserve">Jeśli wejście do pomieszczenia zawężają meble lub elementy wyposażenia, usuń je. Jeśli przestrzeń przed wejściem jest mniejsza z uwagi na układ elementów stałych (np. ścian), w opisie dostępności budynku podaj informację o tym, jak wyglądają wejścia do poszczególnych pomieszczeń i ile jest miejsca na manewrowanie wózkiem. </t>
  </si>
  <si>
    <t xml:space="preserve">Drzwi i przejścia do pomieszczeń dla klientów/gości mają szerokość co najmniej 90 cm. </t>
  </si>
  <si>
    <t>Progi w wejściu do pomieszczeń dla klientów/gości mają wysokość do 2 cm.</t>
  </si>
  <si>
    <t>Drzwi do wszystkich pomieszczeń dla klientów/gości są skontrastowane w stosunku o ściany, w której się znajdują (są łatwe do zauważenia).</t>
  </si>
  <si>
    <t>Klamki w drzwiach są skontrastowane w stosunku do barwy drzwi (łatwe do zauważenia).</t>
  </si>
  <si>
    <t xml:space="preserve">W każdym pomieszczeniu, w którym przebywają klienci/goście, zapewniono przestrzeń manewrową (co najmniej 1,5 x 1,5 m wolnej przestrzeni). </t>
  </si>
  <si>
    <t xml:space="preserve">Jeśli przestrzeń w pomieszczeniu zmniejszają meble lub elementy wyposażenia, usuń je. Jeśli pomieszczenie jest mniejsze z uwagi na układ elementów stałych (np. ścian), w opisie dostępności budynku podaj informację o tym, jak wyglądają te pomieszczenia i ile jest w nich miejsca na manewrowanie wózkiem. </t>
  </si>
  <si>
    <t>Włączniki światła w pomieszczeniach dla klientów/gości znajdują się na wysokości 0,8-1,1 m.</t>
  </si>
  <si>
    <t>Włączniki światła w pomieszczeniach dla klientów/gości są skontrastowane w stosunku do barwy ściany, na której się znajdują.</t>
  </si>
  <si>
    <t xml:space="preserve">Skontrastuj włączniki w stosunku do barwy ścian – możesz albo wymienić włączniki na nowe, o innej barwie, albo kupić podkładki montowane na ścianie pod włącznikiem (w kontrastowym kolorze), albo przemalować fragment ściany wokół włącznika na kontrastowy kolor. </t>
  </si>
  <si>
    <t>Pomieszczenia w budynku – toaleta dla osób z niepełnosprawnościami</t>
  </si>
  <si>
    <t>W budynku znajduje się toaleta dostępna dla osób z niepełnosprawnościami.</t>
  </si>
  <si>
    <t>Sprawdź, czy możliwa jest albo przebudowa istniejących toalet albo wyznaczenie nowej toalety o odpowiednich wymiarach. Jeśli tak, zaplanuj takie prace. Pamiętaj o konieczności doboru odpowiednich sprzętów (miski ustępowej, umywalki, pochwytów, instalacji alarmowej) i rozplanowaniu układu toalety w taki sposób, by możliwe było  manewrowanie wózkiem (przestrzeń 1,5 x 1,5 m) i przesiadanie się na miskę ustępową (przestrzeń obok niej o szerokości co najmniej 90 cm).</t>
  </si>
  <si>
    <t>Sprawdź, czy możliwa jest albo przebudowa istniejących toalet albo wyznaczenie nowej toalety o odpowiednich wymiarach. Jeśli tak, zaplanuj takie prace. Pamiętaj o rozplanowaniu układu toalety w taki sposób, by możliwe było  manewrowanie wózkiem (przestrzeń 1,5 x 1,5 m) i przesiadanie się na miskę ustępową (przestrzeń obok niej o szerokości co najmniej 90 cm).</t>
  </si>
  <si>
    <t>Koniecznie zamontuj pochwyty po lewej i prawej stronie miski ustępowej. Sprawdź, czy możliwe i bezpieczne jest montowanie ich do ściany (jeśli to np. ściana wykończona zabudową z płyt gipsowo-kartonowych bez dodatkowego wzmocnienia, montaż może nie być możliwy), jeśli nie – wybierz pochwyty montowane do podłogi.</t>
  </si>
  <si>
    <t>Koniecznie zamontuj pochwyty po lewej i prawej stronie umywalki. Sprawdź, czy możliwe i bezpieczne jest montowanie ich do ściany (jeśli to np. ściana wykończona zabudową z płyt gipsowo-kartonowych bez dodatkowego wzmocnienia, montaż może nie być możliwy), jeśli nie – wybierz pochwyty montowane do podłogi.</t>
  </si>
  <si>
    <t>Pomieszczenia w budynku – łazienka dla osób z niepełnosprawnościami</t>
  </si>
  <si>
    <t>189.</t>
  </si>
  <si>
    <t xml:space="preserve">Sprawdź, czy możliwa jest albo przebudowa istniejących łazienek albo wyznaczenie nowej łazienki o odpowiednich wymiarach. Jeśli tak, zaplanuj takie prace. Pamiętaj o konieczności doboru odpowiednich sprzętów (miski ustępowej, umywalki, kabiny prysznicowej, pochwytów, instalacji alarmowej) i rozplanowaniu układu łazienki w taki sposób, by możliwe było  manewrowanie wózkiem (przestrzeń 1,5 x 1,5 m) i przesiadanie się na miskę ustępową oraz na siedzisko prysznicowe (przestrzeń obok niej o szerokości co najmniej 90 cm). </t>
  </si>
  <si>
    <t>W budynku znajduje się łazienka dostępna dla osób z niepełnosprawnościami.</t>
  </si>
  <si>
    <t>Sprawdź, czy możliwa jest albo przebudowa istniejących łazienek albo wyznaczenie nowej łazienki o odpowiednich wymiarach. Jeśli tak, zaplanuj takie prace. Pamiętaj o rozplanowaniu układu łazienki w taki sposób, by możliwe było  manewrowanie wózkiem (przestrzeń 1,5 x 1,5 m) i przesiadanie się na miskę ustępową i siedzisko prysznicowe (przestrzeń obok o szerokości co najmniej 90 cm).</t>
  </si>
  <si>
    <t>Sprawdź, czy możliwa jest albo przebudowa istniejących łazienek albo wyznaczenie nowej łazienki o odpowiednich wymiarach. Jeśli tak, zaplanuj takie prace. Pamiętaj o rozplanowaniu układu pomieszczenia w taki sposób, by możliwe było  manewrowanie wózkiem (przestrzeń 1,5 x 1,5 m) i przesiadanie się na miskę ustępową i siedzisko prysznicowe (przestrzeń obok niej o szerokości co najmniej 90 cm).</t>
  </si>
  <si>
    <r>
      <t>Sprawdź, czy możliwe i bezpieczne jest montowanie składanego siedziska do ściany (jeśli to np. ściana wykończona zabudową z płyt gipsowo-kartonowych bez dodatkowego wzmocnienia, montaż może nie być możliwy), jeśli nie – wybierz inne rozwiązanie (np. siedzisko-krzesło).</t>
    </r>
    <r>
      <rPr>
        <sz val="12"/>
        <color theme="1"/>
        <rFont val="Aptos Display"/>
        <family val="2"/>
      </rPr>
      <t xml:space="preserve"> </t>
    </r>
  </si>
  <si>
    <t>Pomieszczenia w budynku – przewijak dla dzieci</t>
  </si>
  <si>
    <t>217.</t>
  </si>
  <si>
    <t>W budynku jest pomieszczenie z przewijakiem dla dzieci.</t>
  </si>
  <si>
    <t xml:space="preserve">Sprawdź, czy możliwy jest montaż przewijaka albo w toalecie (np. toalecie dla osób z niepełnosprawnościami), albo w osobnym pomieszczeniu. Jeśli tak, zaplanuj takie prace. Pamiętaj o tym, że z pomieszczenia z przewijakiem muszą móc korzystać i kobiety, i mężczyźni, osoby z niepełnosprawnościami i bez niepełnosprawności. </t>
  </si>
  <si>
    <t>Pomieszczenia w budynku – komfortka (przewijak/leżanka) dla osób dorosłych</t>
  </si>
  <si>
    <t>227.</t>
  </si>
  <si>
    <t>W budynku jest pomieszczenie z komfortką (przewijakiem dla osób dorosłych).</t>
  </si>
  <si>
    <t>Sprawdź, czy możliwa jest albo przebudowa pomieszczenia. Jeśli tak, zaplanuj takie prace. Pamiętaj o rozplanowaniu jego układu w taki sposób, by możliwe było  manewrowanie wózkiem (przestrzeń 1,5 x 1,5 m) i przesiadanie się na miskę ustępową (przestrzeń obok niej o szerokości co najmniej 90 cm) oraz na komfortkę.</t>
  </si>
  <si>
    <t>Ewakuacja z budynku</t>
  </si>
  <si>
    <t>241.</t>
  </si>
  <si>
    <t>242.</t>
  </si>
  <si>
    <t>243.</t>
  </si>
  <si>
    <t>244.</t>
  </si>
  <si>
    <t>245.</t>
  </si>
  <si>
    <t>246.</t>
  </si>
  <si>
    <t>W budynku jest czytelna informacja graficzna o drogach ewakuacji (oznaczenia ewakuacyjne – piktogramy i strzałki).</t>
  </si>
  <si>
    <t>W budynku jest graficzny plan ewakuacji, umieszczony w łatwym do odnalezienia miejscu.</t>
  </si>
  <si>
    <t>W budynku jest dotykowy plan ewakuacji.</t>
  </si>
  <si>
    <t>W budynku jest dźwiękowy system powiadamiania alarmowego.</t>
  </si>
  <si>
    <t>W opisie dostępności budynku podaj informację o rodzajach alarmów (dźwiękowy, świetlny) lub ich braku. Podaj też informację, jak – w przypadku braku alarmu – o zagrożeniu powiadamiani są klienci/goście.</t>
  </si>
  <si>
    <t>W budynku jest świetlny system powiadamiania alarmowego.</t>
  </si>
  <si>
    <t>Budynek ma więcej niż 1 kondygnację.</t>
  </si>
  <si>
    <t>W opisie dostępności budynku podaj informację o tym, jak wygląda procedura ewakuacji klientów/gości z wyższych kondygnacji.</t>
  </si>
  <si>
    <t>Zastanów się nad możliwością zakupu krzeseł/wózków, materacy lub krzesełek transportowych-płachtowych. Podczas doboru sprzętu weź pod uwagę ilość kondygnacji i wielkość budynku, rodzaj schodów w nim i ilość osób do potencjalnej obsługi sprzętu. Pamiętaj też, że pracownicy obsługujący sprzęt muszą zostać do tego przeszkoleni.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</si>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</sst>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6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2"/>
      <color theme="1"/>
      <name val="Aptos Display"/>
      <family val="2"/>
    </font>
    <font>
      <b/>
      <sz val="12"/>
      <color theme="1"/>
      <name val="Aptos Display"/>
      <family val="2"/>
      <scheme val="major"/>
    </font>
    <font>
      <sz val="8"/>
      <name val="Aptos Narrow"/>
      <family val="2"/>
      <charset val="238"/>
      <scheme val="minor"/>
    </font>
    <font>
      <b/>
      <sz val="12"/>
      <color theme="1"/>
      <name val="Aptos Display"/>
      <family val="2"/>
    </font>
    <font>
      <b/>
      <sz val="16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7D7A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left" vertical="center" indent="9"/>
    </xf>
    <xf numFmtId="0" fontId="2" fillId="0" borderId="0" xfId="0" applyFont="1" applyAlignment="1">
      <alignment horizontal="center" vertical="top" wrapText="1"/>
    </xf>
    <xf numFmtId="0" fontId="6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2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</cellXfs>
  <cellStyles count="1">
    <cellStyle name="Normalny" xfId="0" builtinId="0"/>
  </cellStyles>
  <dxfs count="391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E7D7AF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E7D7AF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E7D7AF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E7D7AF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E7D7AF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E7D7AF"/>
        </patternFill>
      </fill>
    </dxf>
    <dxf>
      <fill>
        <patternFill>
          <bgColor rgb="FFE7D7AF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E7D7AF"/>
        </patternFill>
      </fill>
    </dxf>
    <dxf>
      <fill>
        <patternFill>
          <bgColor rgb="FFE7D7AF"/>
        </patternFill>
      </fill>
    </dxf>
    <dxf>
      <fill>
        <patternFill>
          <bgColor rgb="FFE7D7AF"/>
        </patternFill>
      </fill>
    </dxf>
    <dxf>
      <fill>
        <patternFill>
          <bgColor rgb="FFE7D7AF"/>
        </patternFill>
      </fill>
    </dxf>
    <dxf>
      <fill>
        <patternFill>
          <bgColor rgb="FFE7D7AF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E7D7AF"/>
        </patternFill>
      </fill>
    </dxf>
    <dxf>
      <fill>
        <patternFill>
          <bgColor theme="0" tint="-4.9989318521683403E-2"/>
        </patternFill>
      </fill>
    </dxf>
    <dxf>
      <fill>
        <patternFill>
          <bgColor rgb="FFE7D7AF"/>
        </patternFill>
      </fill>
    </dxf>
    <dxf>
      <fill>
        <patternFill>
          <bgColor rgb="FFE7D7AF"/>
        </patternFill>
      </fill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E7D7AF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E7D7AF"/>
        </patternFill>
      </fill>
    </dxf>
    <dxf>
      <fill>
        <patternFill>
          <bgColor rgb="FFE7D7AF"/>
        </patternFill>
      </fill>
    </dxf>
    <dxf>
      <fill>
        <patternFill>
          <bgColor rgb="FFE7D7AF"/>
        </patternFill>
      </fill>
    </dxf>
    <dxf>
      <fill>
        <patternFill>
          <bgColor rgb="FFE7D7AF"/>
        </patternFill>
      </fill>
    </dxf>
    <dxf>
      <fill>
        <patternFill>
          <bgColor rgb="FFE7D7AF"/>
        </patternFill>
      </fill>
    </dxf>
    <dxf>
      <fill>
        <patternFill>
          <bgColor rgb="FFE7D7AF"/>
        </patternFill>
      </fill>
    </dxf>
    <dxf>
      <fill>
        <patternFill>
          <bgColor rgb="FFE7D7AF"/>
        </patternFill>
      </fill>
    </dxf>
    <dxf>
      <fill>
        <patternFill>
          <bgColor rgb="FFE7D7AF"/>
        </patternFill>
      </fill>
    </dxf>
    <dxf>
      <fill>
        <patternFill>
          <bgColor rgb="FFE7D7AF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E7D7AF"/>
        </patternFill>
      </fill>
    </dxf>
    <dxf>
      <fill>
        <patternFill>
          <bgColor rgb="FFE7D7AF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E7D7AF"/>
        </patternFill>
      </fill>
    </dxf>
    <dxf>
      <fill>
        <patternFill>
          <bgColor rgb="FFE7D7AF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>
          <bgColor rgb="FFE7D7AF"/>
        </patternFill>
      </fill>
    </dxf>
    <dxf>
      <font>
        <b/>
        <i val="0"/>
      </font>
      <fill>
        <patternFill>
          <bgColor rgb="FFE7D7AF"/>
        </patternFill>
      </fill>
    </dxf>
    <dxf>
      <font>
        <b/>
        <i val="0"/>
      </font>
      <fill>
        <patternFill>
          <bgColor rgb="FFE7D7AF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E7D7AF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01C03-4722-48B5-82DC-028678CBBD1B}">
  <dimension ref="A3:AD350"/>
  <sheetViews>
    <sheetView tabSelected="1" zoomScale="85" zoomScaleNormal="85" workbookViewId="0">
      <selection activeCell="AE16" sqref="AE16"/>
    </sheetView>
  </sheetViews>
  <sheetFormatPr defaultColWidth="8.85546875" defaultRowHeight="15.75" x14ac:dyDescent="0.25"/>
  <cols>
    <col min="1" max="1" width="4.85546875" style="2" customWidth="1"/>
    <col min="2" max="2" width="51.28515625" style="3" customWidth="1"/>
    <col min="3" max="3" width="15.28515625" style="1" customWidth="1"/>
    <col min="4" max="5" width="50.85546875" style="7" customWidth="1"/>
    <col min="6" max="26" width="8.85546875" style="2" hidden="1" customWidth="1"/>
    <col min="27" max="28" width="8.85546875" style="2" customWidth="1"/>
    <col min="29" max="29" width="15.140625" style="10" customWidth="1"/>
    <col min="30" max="30" width="13.85546875" style="2" customWidth="1"/>
    <col min="31" max="16384" width="8.85546875" style="2"/>
  </cols>
  <sheetData>
    <row r="3" spans="1:30" ht="21" x14ac:dyDescent="0.25">
      <c r="A3" s="31" t="s">
        <v>194</v>
      </c>
      <c r="B3" s="31"/>
      <c r="C3" s="31"/>
      <c r="D3" s="31"/>
      <c r="E3" s="31"/>
      <c r="AA3" s="2" t="s">
        <v>8</v>
      </c>
      <c r="AC3" s="9" t="s">
        <v>53</v>
      </c>
      <c r="AD3" s="2" t="s">
        <v>159</v>
      </c>
    </row>
    <row r="4" spans="1:30" x14ac:dyDescent="0.25">
      <c r="B4" s="5"/>
      <c r="D4" s="8"/>
      <c r="AA4" s="2" t="s">
        <v>9</v>
      </c>
      <c r="AC4" s="9" t="s">
        <v>49</v>
      </c>
      <c r="AD4" s="2" t="s">
        <v>54</v>
      </c>
    </row>
    <row r="5" spans="1:30" x14ac:dyDescent="0.25">
      <c r="A5" s="16"/>
      <c r="B5" s="25" t="s">
        <v>5</v>
      </c>
      <c r="C5" s="18" t="s">
        <v>6</v>
      </c>
      <c r="D5" s="17" t="s">
        <v>26</v>
      </c>
      <c r="E5" s="17" t="s">
        <v>27</v>
      </c>
      <c r="AA5" s="2" t="s">
        <v>10</v>
      </c>
      <c r="AC5" s="9" t="s">
        <v>50</v>
      </c>
      <c r="AD5" s="2" t="s">
        <v>54</v>
      </c>
    </row>
    <row r="6" spans="1:30" ht="47.25" x14ac:dyDescent="0.25">
      <c r="A6" s="19" t="s">
        <v>0</v>
      </c>
      <c r="B6" s="20" t="s">
        <v>7</v>
      </c>
      <c r="C6" s="21" t="s">
        <v>9</v>
      </c>
      <c r="D6" s="22" t="str">
        <f>IF(OR(C6="tak",C6="nie"),"W opisie dostępności budynku podaj informację o odległości od przystanku.","")</f>
        <v>W opisie dostępności budynku podaj informację o odległości od przystanku.</v>
      </c>
      <c r="E6" s="22"/>
      <c r="AC6" s="9" t="s">
        <v>51</v>
      </c>
      <c r="AD6" s="2" t="s">
        <v>54</v>
      </c>
    </row>
    <row r="7" spans="1:30" ht="47.25" x14ac:dyDescent="0.25">
      <c r="A7" s="19" t="s">
        <v>1</v>
      </c>
      <c r="B7" s="20" t="s">
        <v>11</v>
      </c>
      <c r="C7" s="21" t="s">
        <v>9</v>
      </c>
      <c r="D7" s="22" t="str">
        <f>IF(C7="nie","W opisie dostępności budynku podaj informację o szerokości chodnika i jego stanie (np. ubytkach).","")</f>
        <v>W opisie dostępności budynku podaj informację o szerokości chodnika i jego stanie (np. ubytkach).</v>
      </c>
      <c r="E7" s="22"/>
      <c r="AC7" s="9" t="s">
        <v>52</v>
      </c>
      <c r="AD7" s="2" t="s">
        <v>54</v>
      </c>
    </row>
    <row r="8" spans="1:30" ht="31.5" x14ac:dyDescent="0.25">
      <c r="A8" s="19" t="s">
        <v>2</v>
      </c>
      <c r="B8" s="20" t="s">
        <v>12</v>
      </c>
      <c r="C8" s="21" t="s">
        <v>9</v>
      </c>
      <c r="D8" s="22" t="str">
        <f>IF(C8="nie","W opisie dostępności budynku podaj informację o tym, jak wygląda nawierzchnia chodnika.","")</f>
        <v>W opisie dostępności budynku podaj informację o tym, jak wygląda nawierzchnia chodnika.</v>
      </c>
      <c r="E8" s="22"/>
    </row>
    <row r="9" spans="1:30" ht="47.25" x14ac:dyDescent="0.25">
      <c r="A9" s="19" t="s">
        <v>3</v>
      </c>
      <c r="B9" s="20" t="s">
        <v>13</v>
      </c>
      <c r="C9" s="21" t="s">
        <v>9</v>
      </c>
      <c r="D9" s="22" t="str">
        <f>IF(C9="nie","W opisie dostępności budynku podaj informację o wszystkich stopniach, uskokach i krawężnikach.","")</f>
        <v>W opisie dostępności budynku podaj informację o wszystkich stopniach, uskokach i krawężnikach.</v>
      </c>
      <c r="E9" s="22"/>
    </row>
    <row r="11" spans="1:30" ht="21" x14ac:dyDescent="0.25">
      <c r="A11" s="31" t="s">
        <v>193</v>
      </c>
      <c r="B11" s="31"/>
      <c r="C11" s="31"/>
      <c r="D11" s="31"/>
      <c r="E11" s="31"/>
    </row>
    <row r="12" spans="1:30" x14ac:dyDescent="0.25">
      <c r="B12" s="5"/>
      <c r="D12" s="8"/>
    </row>
    <row r="13" spans="1:30" x14ac:dyDescent="0.25">
      <c r="A13" s="16"/>
      <c r="B13" s="25" t="s">
        <v>5</v>
      </c>
      <c r="C13" s="18" t="s">
        <v>6</v>
      </c>
      <c r="D13" s="17" t="s">
        <v>26</v>
      </c>
      <c r="E13" s="17" t="s">
        <v>27</v>
      </c>
    </row>
    <row r="14" spans="1:30" ht="99.75" customHeight="1" x14ac:dyDescent="0.25">
      <c r="A14" s="19" t="s">
        <v>4</v>
      </c>
      <c r="B14" s="20" t="s">
        <v>33</v>
      </c>
      <c r="C14" s="21" t="s">
        <v>9</v>
      </c>
      <c r="D14" s="22" t="str">
        <f>IF(C14="tak","Sprawdź dostępność miejsca zgodnie z pytaniami poniżej.",IF(C14="nie","Sprawdź, gdzie w najbliższym sąsiedztwie Twojego budynku jest parking z miejscami dla osób z niepełnosprawnościami, na którym mogą zostawić samochód Twoi klienci lub goście. Sprawdź to miejsce zgodnie z pytaniami poniżej.",""))</f>
        <v>Sprawdź, gdzie w najbliższym sąsiedztwie Twojego budynku jest parking z miejscami dla osób z niepełnosprawnościami, na którym mogą zostawić samochód Twoi klienci lub goście. Sprawdź to miejsce zgodnie z pytaniami poniżej.</v>
      </c>
      <c r="E14" s="22" t="str">
        <f>IF(C14="nie","Zaplanuj wyznaczenie przynajmniej jednego miejsca dla osób z niepełnosprawnościami na swoim parkingu. Miejsce powinno mieć odpowiednie wymiary (3,6 m szerokości) i oznaczenie (kolor niebieski, oznaczenie poziome, znak pionowy z tabliczką).","")</f>
        <v>Zaplanuj wyznaczenie przynajmniej jednego miejsca dla osób z niepełnosprawnościami na swoim parkingu. Miejsce powinno mieć odpowiednie wymiary (3,6 m szerokości) i oznaczenie (kolor niebieski, oznaczenie poziome, znak pionowy z tabliczką).</v>
      </c>
      <c r="AC14" s="11"/>
    </row>
    <row r="15" spans="1:30" ht="31.5" x14ac:dyDescent="0.25">
      <c r="A15" s="19" t="s">
        <v>14</v>
      </c>
      <c r="B15" s="20" t="s">
        <v>28</v>
      </c>
      <c r="C15" s="21" t="s">
        <v>9</v>
      </c>
      <c r="D15" s="22" t="str">
        <f>IF(C15="nie","Podaj informację o szerokości miejsca w opisie dostępności budynku.","")</f>
        <v>Podaj informację o szerokości miejsca w opisie dostępności budynku.</v>
      </c>
      <c r="E15" s="22" t="str">
        <f>IF(C14="nie","",IF(C15="nie","Zaplanuj poszerzenie miejsca postojowego do wymaganej szerokości 3,6 m.",""))</f>
        <v/>
      </c>
    </row>
    <row r="16" spans="1:30" ht="63" x14ac:dyDescent="0.25">
      <c r="A16" s="19" t="s">
        <v>15</v>
      </c>
      <c r="B16" s="20" t="s">
        <v>29</v>
      </c>
      <c r="C16" s="21" t="s">
        <v>9</v>
      </c>
      <c r="D16" s="22" t="str">
        <f>IF(C16="nie","Podaj informację o oznaczeniu miejsca w opisie dostępności budynku. ","")</f>
        <v xml:space="preserve">Podaj informację o oznaczeniu miejsca w opisie dostępności budynku. </v>
      </c>
      <c r="E16" s="22" t="str">
        <f>IF(C14="nie","",IF(C16="nie","Sprawdź, których oznaczeń brakuje i zaplanuj ich uzupełnienie w najbliższym czasie. ",""))</f>
        <v/>
      </c>
    </row>
    <row r="17" spans="1:29" ht="31.5" x14ac:dyDescent="0.25">
      <c r="A17" s="19" t="s">
        <v>16</v>
      </c>
      <c r="B17" s="20" t="s">
        <v>30</v>
      </c>
      <c r="C17" s="21" t="s">
        <v>9</v>
      </c>
      <c r="D17" s="22" t="str">
        <f>IF(C17="nie","W opisie dostępności budynku podaj informację o tym, gdzie znajduje się miejsce postojowe.","")</f>
        <v>W opisie dostępności budynku podaj informację o tym, gdzie znajduje się miejsce postojowe.</v>
      </c>
      <c r="E17" s="22" t="str">
        <f>IF(C14="nie","",IF(C17="nie","Sprawdź, czy możliwe jest wyznaczenie miejsca dla osób z niepełnosprawnościami blisko wejścia do budynku. Jeśli tak, zaplanuj jego wyznaczenie (malowanie, oznaczenia).",""))</f>
        <v/>
      </c>
    </row>
    <row r="18" spans="1:29" ht="82.5" customHeight="1" x14ac:dyDescent="0.25">
      <c r="A18" s="19" t="s">
        <v>17</v>
      </c>
      <c r="B18" s="20" t="s">
        <v>31</v>
      </c>
      <c r="C18" s="21" t="s">
        <v>9</v>
      </c>
      <c r="D18" s="22" t="str">
        <f>IF(C18="nie","W opisie dostępności podaj informację o trasie z miejsca postojowego do budynku. ","")</f>
        <v xml:space="preserve">W opisie dostępności podaj informację o trasie z miejsca postojowego do budynku. </v>
      </c>
      <c r="E18" s="22" t="str">
        <f>IF(C14="nie","Poszukaj w najbliższym sąsiedztwie innego miejsca postojowego (nawet bardziej oddalonego), z którego dojście jest pozbawione barier, i dodaj informację o jego lokalizacji do opisu dostępności.",IF(C18="nie","Sprawdź, czy możliwe jest wyznaczenie innej trasy albo zniwelowanie barier na tej (usunięcie krawężników / stopni, poszerzenie lub wyrównanie chodnika). Jeśli tak, zaplanuj prace z tym związane.",""))</f>
        <v>Poszukaj w najbliższym sąsiedztwie innego miejsca postojowego (nawet bardziej oddalonego), z którego dojście jest pozbawione barier, i dodaj informację o jego lokalizacji do opisu dostępności.</v>
      </c>
    </row>
    <row r="20" spans="1:29" ht="21" x14ac:dyDescent="0.25">
      <c r="A20" s="31" t="s">
        <v>192</v>
      </c>
      <c r="B20" s="31"/>
      <c r="C20" s="31"/>
      <c r="D20" s="31"/>
      <c r="E20" s="31"/>
    </row>
    <row r="21" spans="1:29" x14ac:dyDescent="0.25">
      <c r="B21" s="5"/>
      <c r="D21" s="8"/>
    </row>
    <row r="22" spans="1:29" x14ac:dyDescent="0.25">
      <c r="A22" s="16"/>
      <c r="B22" s="25" t="s">
        <v>5</v>
      </c>
      <c r="C22" s="18" t="s">
        <v>6</v>
      </c>
      <c r="D22" s="17" t="s">
        <v>26</v>
      </c>
      <c r="E22" s="17" t="s">
        <v>27</v>
      </c>
    </row>
    <row r="23" spans="1:29" ht="80.45" customHeight="1" x14ac:dyDescent="0.25">
      <c r="A23" s="19" t="s">
        <v>18</v>
      </c>
      <c r="B23" s="20" t="s">
        <v>34</v>
      </c>
      <c r="C23" s="21" t="s">
        <v>9</v>
      </c>
      <c r="D23" s="22" t="str">
        <f>IF(C23="nie","Podaj informację o szerokości chodnika w opisie dostępności budynku.",IF(C23="nie dotyczy","Przejdź do kolejnego pytania.",""))</f>
        <v>Podaj informację o szerokości chodnika w opisie dostępności budynku.</v>
      </c>
      <c r="E23" s="22" t="str">
        <f>IF(C23="tak","1,5 m to szerokość pozwalająca na swobodne minięcie się osoby na wózku / z wózkiem i osoby chodzącej. Idealna szerokość chodnika to co najmniej 1,8 m – jeśli Twój jest węższy, sprawdź, czy istnieje możliwość jego poszerzenia.",IF(C23="nie",AC23,""))</f>
        <v>Sprawdź, czy możliwe jest jego poszerzenie do co najmniej 1,5 m a najlepiej – do 1,8 m (to szerokość, która pozwala na swobodne minięcie się dwóch osób na wózkach lub z wózkami). Jeśli tak – zaplanuj takie prace.</v>
      </c>
      <c r="AC23" s="10" t="s">
        <v>35</v>
      </c>
    </row>
    <row r="24" spans="1:29" ht="47.25" x14ac:dyDescent="0.25">
      <c r="A24" s="19" t="s">
        <v>19</v>
      </c>
      <c r="B24" s="20" t="s">
        <v>36</v>
      </c>
      <c r="C24" s="21" t="s">
        <v>9</v>
      </c>
      <c r="D24" s="22" t="str">
        <f>IF(C24="nie","Podaj informację o barierach na chodniku w opisie dostępności budynku.",IF(C24="nie dotyczy","Przejdź do kolejnego pytania.",""))</f>
        <v>Podaj informację o barierach na chodniku w opisie dostępności budynku.</v>
      </c>
      <c r="E24" s="22" t="str">
        <f>IF(C24="nie","Sprawdź, czy możliwe jest ich usunięcie. Jeśli tak – zaplanuj takie prace.","")</f>
        <v>Sprawdź, czy możliwe jest ich usunięcie. Jeśli tak – zaplanuj takie prace.</v>
      </c>
    </row>
    <row r="25" spans="1:29" ht="47.25" x14ac:dyDescent="0.25">
      <c r="A25" s="19" t="s">
        <v>20</v>
      </c>
      <c r="B25" s="20" t="s">
        <v>37</v>
      </c>
      <c r="C25" s="21" t="s">
        <v>9</v>
      </c>
      <c r="D25" s="22" t="str">
        <f>IF(C25="nie","Podaj informację o stanie chodnika w opisie dostępności budynku.",IF(C25="nie dotyczy","Przejdź do kolejnego pytania.",""))</f>
        <v>Podaj informację o stanie chodnika w opisie dostępności budynku.</v>
      </c>
      <c r="E25" s="22" t="str">
        <f>IF(C25="nie","Sprawdź, czy możliwe jest usunięcie ubytków, dziur czy nierówności. Jeśli tak – zaplanuj takie prace.","")</f>
        <v>Sprawdź, czy możliwe jest usunięcie ubytków, dziur czy nierówności. Jeśli tak – zaplanuj takie prace.</v>
      </c>
    </row>
    <row r="26" spans="1:29" ht="47.25" x14ac:dyDescent="0.25">
      <c r="A26" s="19" t="s">
        <v>21</v>
      </c>
      <c r="B26" s="20" t="s">
        <v>38</v>
      </c>
      <c r="C26" s="21" t="s">
        <v>9</v>
      </c>
      <c r="D26" s="22" t="str">
        <f>IF(C26="nie","Podaj informację o szerokości przejścia w opisie dostępności budynku.",IF(C26="nie dotyczy","Przejdź do kolejnego pytania.",""))</f>
        <v>Podaj informację o szerokości przejścia w opisie dostępności budynku.</v>
      </c>
      <c r="E26" s="22" t="str">
        <f>IF(C26="nie","Zaplanuj poszerzenie furtki do co najmniej 90 cm w przejściu.","")</f>
        <v>Zaplanuj poszerzenie furtki do co najmniej 90 cm w przejściu.</v>
      </c>
    </row>
    <row r="27" spans="1:29" ht="47.25" x14ac:dyDescent="0.25">
      <c r="A27" s="19" t="s">
        <v>22</v>
      </c>
      <c r="B27" s="20" t="s">
        <v>39</v>
      </c>
      <c r="C27" s="21" t="s">
        <v>9</v>
      </c>
      <c r="D27" s="22" t="str">
        <f>IF(C27="nie","Podaj informację o tym, gdzie znajduje się wejście, w opisie dostępności budynku. ","")</f>
        <v xml:space="preserve">Podaj informację o tym, gdzie znajduje się wejście, w opisie dostępności budynku. </v>
      </c>
      <c r="E27" s="22" t="str">
        <f>IF(C27="nie","Zaplanuj system oznaczeń, np. strzałek z piktogramami i opisem, wskazujący trasę do wejścia do budynku.","")</f>
        <v>Zaplanuj system oznaczeń, np. strzałek z piktogramami i opisem, wskazujący trasę do wejścia do budynku.</v>
      </c>
    </row>
    <row r="28" spans="1:29" ht="31.5" x14ac:dyDescent="0.25">
      <c r="A28" s="19" t="s">
        <v>23</v>
      </c>
      <c r="B28" s="20" t="s">
        <v>40</v>
      </c>
      <c r="C28" s="21" t="s">
        <v>9</v>
      </c>
      <c r="D28" s="22" t="str">
        <f>IF(C28="nie","Podaj informację o tym, jak wygląda budynek, w opisie dostępności – dodaj jego fotografię.","")</f>
        <v>Podaj informację o tym, jak wygląda budynek, w opisie dostępności – dodaj jego fotografię.</v>
      </c>
      <c r="E28" s="22" t="str">
        <f>IF(C28="nie","Zaplanuj umieszczenie tablicy z nazwą i/lub funkcją budynku w widocznym miejscu.","")</f>
        <v>Zaplanuj umieszczenie tablicy z nazwą i/lub funkcją budynku w widocznym miejscu.</v>
      </c>
    </row>
    <row r="29" spans="1:29" x14ac:dyDescent="0.25">
      <c r="A29" s="19"/>
      <c r="B29" s="20"/>
      <c r="C29" s="21" t="s">
        <v>9</v>
      </c>
      <c r="D29" s="22"/>
      <c r="E29" s="22"/>
    </row>
    <row r="30" spans="1:29" ht="21" x14ac:dyDescent="0.25">
      <c r="A30" s="32" t="s">
        <v>41</v>
      </c>
      <c r="B30" s="32"/>
      <c r="C30" s="32"/>
      <c r="D30" s="32"/>
      <c r="E30" s="32"/>
    </row>
    <row r="31" spans="1:29" x14ac:dyDescent="0.25">
      <c r="B31" s="5"/>
      <c r="D31" s="8"/>
    </row>
    <row r="32" spans="1:29" ht="19.899999999999999" customHeight="1" x14ac:dyDescent="0.25">
      <c r="A32" s="16"/>
      <c r="B32" s="25" t="s">
        <v>5</v>
      </c>
      <c r="C32" s="18" t="s">
        <v>6</v>
      </c>
      <c r="D32" s="17" t="s">
        <v>26</v>
      </c>
      <c r="E32" s="17" t="s">
        <v>27</v>
      </c>
      <c r="AC32" s="11" t="s">
        <v>46</v>
      </c>
    </row>
    <row r="33" spans="1:29" ht="46.9" customHeight="1" x14ac:dyDescent="0.25">
      <c r="A33" s="19" t="s">
        <v>24</v>
      </c>
      <c r="B33" s="20" t="s">
        <v>43</v>
      </c>
      <c r="C33" s="21" t="s">
        <v>9</v>
      </c>
      <c r="D33" s="22" t="str">
        <f>IF(C33="tak",AC32,IF(C33="nie",AC33,""))</f>
        <v>Podaj informację o tym, jak wygląda główne wejście, w opisie dostępności budynku – dodaj jego fotografię.</v>
      </c>
      <c r="E33" s="22" t="str">
        <f>IF(C33="nie","Sprawdź, czy możliwe jest zapewnienie pełnej dostępności głównego wejścia: budowa pochylni, ewentualnie montaż podnośnika.","")</f>
        <v>Sprawdź, czy możliwe jest zapewnienie pełnej dostępności głównego wejścia: budowa pochylni, ewentualnie montaż podnośnika.</v>
      </c>
      <c r="AC33" s="10" t="s">
        <v>44</v>
      </c>
    </row>
    <row r="34" spans="1:29" ht="63" x14ac:dyDescent="0.25">
      <c r="A34" s="19" t="s">
        <v>25</v>
      </c>
      <c r="B34" s="20" t="s">
        <v>45</v>
      </c>
      <c r="C34" s="21" t="s">
        <v>9</v>
      </c>
      <c r="D34" s="22" t="str">
        <f>IF(C34="nie","Podaj informację o tym, jak wyglądają wejścia, w opisie dostępności budynku – dodaj ich fotografie.
Przejdź do pytania 19.","")</f>
        <v>Podaj informację o tym, jak wyglądają wejścia, w opisie dostępności budynku – dodaj ich fotografie.
Przejdź do pytania 19.</v>
      </c>
      <c r="E34" s="22" t="str">
        <f>IF(C34="nie","Sprawdź, czy możliwe jest zapewnienie pełnej dostępności któregokolwiek wejścia: budowa pochylni, ewentualnie montaż podnośnika. ","")</f>
        <v xml:space="preserve">Sprawdź, czy możliwe jest zapewnienie pełnej dostępności któregokolwiek wejścia: budowa pochylni, ewentualnie montaż podnośnika. </v>
      </c>
    </row>
    <row r="35" spans="1:29" ht="47.25" x14ac:dyDescent="0.25">
      <c r="A35" s="19" t="s">
        <v>32</v>
      </c>
      <c r="B35" s="20" t="s">
        <v>47</v>
      </c>
      <c r="C35" s="21" t="s">
        <v>9</v>
      </c>
      <c r="D35" s="22" t="str">
        <f>IF(C35="nie","Podaj informację o tym, jak dostać się do wejścia dostępnego dla wszystkich, w opisie dostępności budynku – dodaj fotografie.","")</f>
        <v>Podaj informację o tym, jak dostać się do wejścia dostępnego dla wszystkich, w opisie dostępności budynku – dodaj fotografie.</v>
      </c>
      <c r="E35" s="22" t="str">
        <f>IF(C35="nie","Zaplanuj system oznaczeń, np. strzałek z piktogramami i opisem, wskazujący trasę do dostępnego wejścia do budynku.","")</f>
        <v>Zaplanuj system oznaczeń, np. strzałek z piktogramami i opisem, wskazujący trasę do dostępnego wejścia do budynku.</v>
      </c>
    </row>
    <row r="36" spans="1:29" ht="31.5" x14ac:dyDescent="0.25">
      <c r="A36" s="19" t="s">
        <v>42</v>
      </c>
      <c r="B36" s="20" t="s">
        <v>48</v>
      </c>
      <c r="C36" s="23" t="s">
        <v>53</v>
      </c>
      <c r="D36" s="29" t="str">
        <f>IF(C36=AC3,AD3,IF(OR(C36=AC4,C36=AC5,C36=AC6,C36=AC7),AD4,""))</f>
        <v>Przejdź do pytania numer 68.</v>
      </c>
      <c r="E36" s="29"/>
    </row>
    <row r="38" spans="1:29" ht="21" x14ac:dyDescent="0.25">
      <c r="A38" s="30" t="s">
        <v>191</v>
      </c>
      <c r="B38" s="30"/>
      <c r="C38" s="30"/>
      <c r="D38" s="30"/>
      <c r="E38" s="30"/>
    </row>
    <row r="39" spans="1:29" x14ac:dyDescent="0.25">
      <c r="B39" s="5"/>
      <c r="D39" s="8"/>
    </row>
    <row r="40" spans="1:29" ht="19.899999999999999" customHeight="1" x14ac:dyDescent="0.25">
      <c r="A40" s="16"/>
      <c r="B40" s="25" t="s">
        <v>5</v>
      </c>
      <c r="C40" s="18" t="s">
        <v>6</v>
      </c>
      <c r="D40" s="17" t="s">
        <v>26</v>
      </c>
      <c r="E40" s="17" t="s">
        <v>27</v>
      </c>
      <c r="AC40" s="11" t="s">
        <v>46</v>
      </c>
    </row>
    <row r="41" spans="1:29" ht="35.450000000000003" customHeight="1" x14ac:dyDescent="0.25">
      <c r="A41" s="19" t="s">
        <v>55</v>
      </c>
      <c r="B41" s="20" t="s">
        <v>66</v>
      </c>
      <c r="C41" s="21" t="s">
        <v>9</v>
      </c>
      <c r="D41" s="22" t="str">
        <f>IF(C41="nie","W opisie dostępności budynku podaj informację o ilości stopni w jednym biegu schodów zewnętrznych. ","")</f>
        <v xml:space="preserve">W opisie dostępności budynku podaj informację o ilości stopni w jednym biegu schodów zewnętrznych. </v>
      </c>
      <c r="E41" s="22" t="str">
        <f>IF(C41="nie","Sprawdź, czy możliwa jest ich przebudowa w taki sposób, by w jednym biegu znajdowało się do 10 stopni. Jeśli tak – zaplanuj takie prace.","")</f>
        <v>Sprawdź, czy możliwa jest ich przebudowa w taki sposób, by w jednym biegu znajdowało się do 10 stopni. Jeśli tak – zaplanuj takie prace.</v>
      </c>
    </row>
    <row r="42" spans="1:29" ht="31.9" customHeight="1" x14ac:dyDescent="0.25">
      <c r="A42" s="19" t="s">
        <v>56</v>
      </c>
      <c r="B42" s="20" t="s">
        <v>67</v>
      </c>
      <c r="C42" s="21" t="s">
        <v>9</v>
      </c>
      <c r="D42" s="22" t="str">
        <f>IF(C42="nie","W opisie dostępności budynku podaj informację o szerokości biegu schodów zewnętrznych. ","")</f>
        <v xml:space="preserve">W opisie dostępności budynku podaj informację o szerokości biegu schodów zewnętrznych. </v>
      </c>
      <c r="E42" s="22" t="str">
        <f>IF(C42="nie","Sprawdź, czy możliwe jest poszerzenie schodów. Jeśli tak – zaplanuj takie prace.","")</f>
        <v>Sprawdź, czy możliwe jest poszerzenie schodów. Jeśli tak – zaplanuj takie prace.</v>
      </c>
    </row>
    <row r="43" spans="1:29" ht="62.45" customHeight="1" x14ac:dyDescent="0.25">
      <c r="A43" s="19" t="s">
        <v>57</v>
      </c>
      <c r="B43" s="20" t="s">
        <v>68</v>
      </c>
      <c r="C43" s="21" t="s">
        <v>9</v>
      </c>
      <c r="D43" s="22" t="str">
        <f>IF(C43="nie","W opisie dostępności budynku podaj informację o tym, że schody mają różną wysokość lub szerokość (jest to niebezpieczna sytuacja, ponieważ Twoi klienci mogą się potknąć i upaść).","")</f>
        <v>W opisie dostępności budynku podaj informację o tym, że schody mają różną wysokość lub szerokość (jest to niebezpieczna sytuacja, ponieważ Twoi klienci mogą się potknąć i upaść).</v>
      </c>
      <c r="E43" s="22" t="str">
        <f>IF(C43="nie","Sprawdź, czy możliwa jest ich przebudowa w taki sposób, by wyrównać stopnie. Jeśli tak – zaplanuj takie prace.","")</f>
        <v>Sprawdź, czy możliwa jest ich przebudowa w taki sposób, by wyrównać stopnie. Jeśli tak – zaplanuj takie prace.</v>
      </c>
    </row>
    <row r="44" spans="1:29" ht="51" customHeight="1" x14ac:dyDescent="0.25">
      <c r="A44" s="19" t="s">
        <v>58</v>
      </c>
      <c r="B44" s="20" t="s">
        <v>69</v>
      </c>
      <c r="C44" s="21" t="s">
        <v>9</v>
      </c>
      <c r="D44" s="22" t="str">
        <f>IF(C44="nie","W opisie dostępności budynku podaj informację o tym, że stopnie są dość wąskie.","")</f>
        <v>W opisie dostępności budynku podaj informację o tym, że stopnie są dość wąskie.</v>
      </c>
      <c r="E44" s="22" t="str">
        <f>IF(C44="nie","Sprawdź, czy możliwa jest przebudowa schodów w taki sposób, by poszerzyć stopnie. Jeśli tak – zaplanuj takie prace.","")</f>
        <v>Sprawdź, czy możliwa jest przebudowa schodów w taki sposób, by poszerzyć stopnie. Jeśli tak – zaplanuj takie prace.</v>
      </c>
    </row>
    <row r="45" spans="1:29" ht="63" x14ac:dyDescent="0.25">
      <c r="A45" s="19" t="s">
        <v>59</v>
      </c>
      <c r="B45" s="20" t="s">
        <v>70</v>
      </c>
      <c r="C45" s="21" t="s">
        <v>9</v>
      </c>
      <c r="D45" s="22" t="str">
        <f>IF(C45="nie","Zaplanuj oznaczenie stopni kontrastowymi pasami na krawędziach poziomych i pionowych. Pasy powinny być łatwo widoczne i antypoślizgowe.","")</f>
        <v>Zaplanuj oznaczenie stopni kontrastowymi pasami na krawędziach poziomych i pionowych. Pasy powinny być łatwo widoczne i antypoślizgowe.</v>
      </c>
      <c r="E45" s="22"/>
    </row>
    <row r="46" spans="1:29" ht="47.45" customHeight="1" x14ac:dyDescent="0.25">
      <c r="A46" s="19" t="s">
        <v>60</v>
      </c>
      <c r="B46" s="20" t="s">
        <v>71</v>
      </c>
      <c r="C46" s="21" t="s">
        <v>9</v>
      </c>
      <c r="D46" s="22" t="str">
        <f>IF(C46="nie","W opisie dostępności budynku podaj informację o tym, że stopnie mają noski (jest to niebezpieczna sytuacja, ponieważ Twoi klienci mogą się potknąć i upaść).","")</f>
        <v>W opisie dostępności budynku podaj informację o tym, że stopnie mają noski (jest to niebezpieczna sytuacja, ponieważ Twoi klienci mogą się potknąć i upaść).</v>
      </c>
      <c r="E46" s="22" t="str">
        <f>IF(C46="nie","Sprawdź, czy możliwa jest ich przebudowa w taki sposób, by usunąć noski stopni. Jeśli tak – zaplanuj takie prace.","")</f>
        <v>Sprawdź, czy możliwa jest ich przebudowa w taki sposób, by usunąć noski stopni. Jeśli tak – zaplanuj takie prace.</v>
      </c>
    </row>
    <row r="47" spans="1:29" ht="33.6" customHeight="1" x14ac:dyDescent="0.25">
      <c r="A47" s="19" t="s">
        <v>61</v>
      </c>
      <c r="B47" s="20" t="s">
        <v>72</v>
      </c>
      <c r="C47" s="21" t="s">
        <v>9</v>
      </c>
      <c r="D47" s="22" t="str">
        <f>IF(C47="nie","W opisie dostępności budynku podaj informację o tym, że stopnie są ażurowe.","")</f>
        <v>W opisie dostępności budynku podaj informację o tym, że stopnie są ażurowe.</v>
      </c>
      <c r="E47" s="22" t="str">
        <f>IF(C47="nie","Sprawdź, czy możliwa jest ich przebudowa i wymiana na stopnie pełne. Jeśli tak – zaplanuj takie prace.","")</f>
        <v>Sprawdź, czy możliwa jest ich przebudowa i wymiana na stopnie pełne. Jeśli tak – zaplanuj takie prace.</v>
      </c>
    </row>
    <row r="48" spans="1:29" ht="63" x14ac:dyDescent="0.25">
      <c r="A48" s="19" t="s">
        <v>62</v>
      </c>
      <c r="B48" s="20" t="s">
        <v>73</v>
      </c>
      <c r="C48" s="21" t="s">
        <v>9</v>
      </c>
      <c r="D48" s="22" t="str">
        <f>IF(C48="nie","W opisie dostępności budynku podaj informację o tym, że przy schodach nie ma balustrady. ","")</f>
        <v xml:space="preserve">W opisie dostępności budynku podaj informację o tym, że przy schodach nie ma balustrady. </v>
      </c>
      <c r="E48" s="22" t="str">
        <f>IF(C48="nie","Zaplanuj montaż balustrady z poręczami.","")</f>
        <v>Zaplanuj montaż balustrady z poręczami.</v>
      </c>
    </row>
    <row r="49" spans="1:30" ht="48.6" customHeight="1" x14ac:dyDescent="0.25">
      <c r="A49" s="19" t="s">
        <v>63</v>
      </c>
      <c r="B49" s="20" t="s">
        <v>74</v>
      </c>
      <c r="C49" s="21" t="s">
        <v>9</v>
      </c>
      <c r="D49" s="22" t="str">
        <f>IF(C49="nie","W opisie dostępności budynku podaj informację o tym, że schody są szerokie, ale nie mają dodatkowej balustrady w środku.","")</f>
        <v>W opisie dostępności budynku podaj informację o tym, że schody są szerokie, ale nie mają dodatkowej balustrady w środku.</v>
      </c>
      <c r="E49" s="22" t="str">
        <f>IF(C49="nie","Zaplanuj montaż dodatkowej balustrady z poręczami.","")</f>
        <v>Zaplanuj montaż dodatkowej balustrady z poręczami.</v>
      </c>
    </row>
    <row r="50" spans="1:30" ht="31.5" x14ac:dyDescent="0.25">
      <c r="A50" s="19" t="s">
        <v>64</v>
      </c>
      <c r="B50" s="20" t="s">
        <v>75</v>
      </c>
      <c r="C50" s="21" t="s">
        <v>9</v>
      </c>
      <c r="D50" s="22"/>
      <c r="E50" s="22" t="str">
        <f>IF(C50="nie","Zaplanuj wymianę poręczy na odpowiednio przedłużone.","")</f>
        <v>Zaplanuj wymianę poręczy na odpowiednio przedłużone.</v>
      </c>
    </row>
    <row r="51" spans="1:30" ht="31.5" x14ac:dyDescent="0.25">
      <c r="A51" s="19" t="s">
        <v>65</v>
      </c>
      <c r="B51" s="20" t="s">
        <v>76</v>
      </c>
      <c r="C51" s="21" t="s">
        <v>9</v>
      </c>
      <c r="D51" s="22"/>
      <c r="E51" s="22" t="str">
        <f>IF(C51="nie","Zaplanuj wymianę poręczy na odpowiednio zakończone.","")</f>
        <v>Zaplanuj wymianę poręczy na odpowiednio zakończone.</v>
      </c>
      <c r="AC51" s="13" t="s">
        <v>83</v>
      </c>
      <c r="AD51" s="2" t="s">
        <v>79</v>
      </c>
    </row>
    <row r="52" spans="1:30" ht="33" customHeight="1" x14ac:dyDescent="0.25">
      <c r="A52" s="19" t="s">
        <v>78</v>
      </c>
      <c r="B52" s="20" t="s">
        <v>77</v>
      </c>
      <c r="C52" s="23" t="s">
        <v>83</v>
      </c>
      <c r="D52" s="22" t="str">
        <f>IF(C52=AC51,AD51,IF(C52=AC52,AD52,IF(C52=AC53,AD53,IF(C52=AC54,AD54,""))))</f>
        <v>Przejdź do pytania numer 32.</v>
      </c>
      <c r="E52" s="22" t="str">
        <f>IF(C52=AC54,"Sprawdź, czy możliwe jest zapewnienie pełnej dostępności któregokolwiek wejścia: budowa pochylni, ewentualnie montaż podnośnika.","")</f>
        <v/>
      </c>
      <c r="AC52" s="13" t="s">
        <v>84</v>
      </c>
      <c r="AD52" s="2" t="s">
        <v>80</v>
      </c>
    </row>
    <row r="53" spans="1:30" x14ac:dyDescent="0.25">
      <c r="AC53" s="13" t="s">
        <v>85</v>
      </c>
      <c r="AD53" s="2" t="s">
        <v>81</v>
      </c>
    </row>
    <row r="54" spans="1:30" ht="21" x14ac:dyDescent="0.25">
      <c r="A54" s="30" t="s">
        <v>190</v>
      </c>
      <c r="B54" s="30"/>
      <c r="C54" s="30"/>
      <c r="D54" s="30"/>
      <c r="E54" s="30"/>
      <c r="AC54" s="12" t="s">
        <v>86</v>
      </c>
      <c r="AD54" s="2" t="s">
        <v>82</v>
      </c>
    </row>
    <row r="55" spans="1:30" x14ac:dyDescent="0.25">
      <c r="B55" s="5"/>
      <c r="D55" s="8"/>
    </row>
    <row r="56" spans="1:30" ht="19.899999999999999" customHeight="1" x14ac:dyDescent="0.25">
      <c r="A56" s="16"/>
      <c r="B56" s="25" t="s">
        <v>5</v>
      </c>
      <c r="C56" s="18" t="s">
        <v>6</v>
      </c>
      <c r="D56" s="17" t="s">
        <v>26</v>
      </c>
      <c r="E56" s="17" t="s">
        <v>27</v>
      </c>
      <c r="AC56" s="11"/>
    </row>
    <row r="57" spans="1:30" ht="62.45" customHeight="1" x14ac:dyDescent="0.25">
      <c r="A57" s="19" t="s">
        <v>87</v>
      </c>
      <c r="B57" s="20" t="s">
        <v>98</v>
      </c>
      <c r="C57" s="21" t="s">
        <v>9</v>
      </c>
      <c r="D57" s="22" t="str">
        <f>IF(C57="nie","W opisie dostępności budynku podaj informację o tym, jak wygląda pochylnia i miejsca wejścia na nią / zejścia z niej. ","")</f>
        <v xml:space="preserve">W opisie dostępności budynku podaj informację o tym, jak wygląda pochylnia i miejsca wejścia na nią / zejścia z niej. </v>
      </c>
      <c r="E57" s="22" t="str">
        <f>IF(C57="nie","Sprawdź, czy możliwa jest przebudowa pochylni w taki sposób, żeby przed nią i za nią była odpowiednia przestrzeń do manewrowania wózkiem (co najmniej 1,5 x 1,5 m). Jeśli tak, zaplanuj takie prace. ","")</f>
        <v xml:space="preserve">Sprawdź, czy możliwa jest przebudowa pochylni w taki sposób, żeby przed nią i za nią była odpowiednia przestrzeń do manewrowania wózkiem (co najmniej 1,5 x 1,5 m). Jeśli tak, zaplanuj takie prace. </v>
      </c>
    </row>
    <row r="58" spans="1:30" ht="37.9" customHeight="1" x14ac:dyDescent="0.25">
      <c r="A58" s="19" t="s">
        <v>88</v>
      </c>
      <c r="B58" s="20" t="s">
        <v>99</v>
      </c>
      <c r="C58" s="21" t="s">
        <v>9</v>
      </c>
      <c r="D58" s="22" t="str">
        <f>IF(C58="nie","W opisie dostępności budynku podaj informację o tym, jak wygląda pochylnia i jaka jest jej szerokość.","")</f>
        <v>W opisie dostępności budynku podaj informację o tym, jak wygląda pochylnia i jaka jest jej szerokość.</v>
      </c>
      <c r="E58" s="22" t="str">
        <f>IF(C58="nie","Sprawdź, czy możliwa jest przebudowa pochylni i jej poszerzenie. Jeśli tak, zaplanuj takie prace.","")</f>
        <v>Sprawdź, czy możliwa jest przebudowa pochylni i jej poszerzenie. Jeśli tak, zaplanuj takie prace.</v>
      </c>
    </row>
    <row r="59" spans="1:30" ht="49.9" customHeight="1" x14ac:dyDescent="0.25">
      <c r="A59" s="19" t="s">
        <v>89</v>
      </c>
      <c r="B59" s="20" t="s">
        <v>100</v>
      </c>
      <c r="C59" s="21" t="s">
        <v>9</v>
      </c>
      <c r="D59" s="22" t="str">
        <f>IF(C59="nie","W opisie dostępności budynku podaj informację o tym, jak wygląda pochylnia i jak długie są jej biegi. ","")</f>
        <v xml:space="preserve">W opisie dostępności budynku podaj informację o tym, jak wygląda pochylnia i jak długie są jej biegi. </v>
      </c>
      <c r="E59" s="22" t="str">
        <f>IF(C59="nie","Sprawdź, czy możliwa jest przebudowa pochylni w taki sposób, żeby żaden bieg nie był dłuższy niż 9 m. Jeśli tak, zaplanuj takie prace.","")</f>
        <v>Sprawdź, czy możliwa jest przebudowa pochylni w taki sposób, żeby żaden bieg nie był dłuższy niż 9 m. Jeśli tak, zaplanuj takie prace.</v>
      </c>
    </row>
    <row r="60" spans="1:30" ht="47.25" x14ac:dyDescent="0.25">
      <c r="A60" s="19" t="s">
        <v>90</v>
      </c>
      <c r="B60" s="20" t="s">
        <v>101</v>
      </c>
      <c r="C60" s="21" t="s">
        <v>9</v>
      </c>
      <c r="D60" s="22" t="str">
        <f>IF(C60="nie","W opisie dostępności budynku podaj informację o tym, jak wygląda pochylnia i czy ma krawężniki.","")</f>
        <v>W opisie dostępności budynku podaj informację o tym, jak wygląda pochylnia i czy ma krawężniki.</v>
      </c>
      <c r="E60" s="22" t="str">
        <f>IF(C60="nie","Zaplanuj montaż dodatkowych krawężników lub ograniczników o wysokości co najmniej 7 cm.","")</f>
        <v>Zaplanuj montaż dodatkowych krawężników lub ograniczników o wysokości co najmniej 7 cm.</v>
      </c>
    </row>
    <row r="61" spans="1:30" ht="82.9" customHeight="1" x14ac:dyDescent="0.25">
      <c r="A61" s="19" t="s">
        <v>91</v>
      </c>
      <c r="B61" s="20" t="s">
        <v>105</v>
      </c>
      <c r="C61" s="21" t="s">
        <v>9</v>
      </c>
      <c r="D61" s="22" t="str">
        <f>IF(C61="nie","Jeśli pochylnię zawęża roślinność – przytnij ją. Jeśli pochylnię zawężają jakieś elementy budynku, w opisie dostępności budynku podaj informację o tym, jak wygląda pochylnia i jaka jest jej szerokość w najwęższym miejscu – dodaj fotografię.","")</f>
        <v>Jeśli pochylnię zawęża roślinność – przytnij ją. Jeśli pochylnię zawężają jakieś elementy budynku, w opisie dostępności budynku podaj informację o tym, jak wygląda pochylnia i jaka jest jej szerokość w najwęższym miejscu – dodaj fotografię.</v>
      </c>
      <c r="E61" s="22" t="str">
        <f>IF(C61="nie","Sprawdź, czy możliwe jest usunięcie elementów zawężających pochylnię lub jej przebudowa. Jeśli tak, zaplanuj takie prace.","")</f>
        <v>Sprawdź, czy możliwe jest usunięcie elementów zawężających pochylnię lub jej przebudowa. Jeśli tak, zaplanuj takie prace.</v>
      </c>
    </row>
    <row r="62" spans="1:30" ht="46.9" customHeight="1" x14ac:dyDescent="0.25">
      <c r="A62" s="19" t="s">
        <v>92</v>
      </c>
      <c r="B62" s="20" t="s">
        <v>102</v>
      </c>
      <c r="C62" s="21" t="s">
        <v>9</v>
      </c>
      <c r="D62" s="22" t="str">
        <f>IF(C62="nie","W opisie dostępności budynku podaj informację o tym, jak wygląda pochylnia, czy w ogóle ma poręcze i po której stronie. ","")</f>
        <v xml:space="preserve">W opisie dostępności budynku podaj informację o tym, jak wygląda pochylnia, czy w ogóle ma poręcze i po której stronie. </v>
      </c>
      <c r="E62" s="22" t="str">
        <f>IF(C62="nie","Zaplanuj montaż dodatkowych poręczy – powinny być dwie po lewej i dwie po prawej stronie biegu, na wysokościach 90 cm i 75 cm od poziomu pochylni.","")</f>
        <v>Zaplanuj montaż dodatkowych poręczy – powinny być dwie po lewej i dwie po prawej stronie biegu, na wysokościach 90 cm i 75 cm od poziomu pochylni.</v>
      </c>
    </row>
    <row r="63" spans="1:30" ht="47.45" customHeight="1" x14ac:dyDescent="0.25">
      <c r="A63" s="19" t="s">
        <v>93</v>
      </c>
      <c r="B63" s="20" t="s">
        <v>103</v>
      </c>
      <c r="C63" s="21" t="s">
        <v>9</v>
      </c>
      <c r="D63" s="22" t="str">
        <f>IF(C63="nie","W opisie dostępności budynku podaj informację o tym, jak wygląda pochylnia i jaki ma odstęp między poręczami. ","")</f>
        <v xml:space="preserve">W opisie dostępności budynku podaj informację o tym, jak wygląda pochylnia i jaki ma odstęp między poręczami. </v>
      </c>
      <c r="E63" s="22" t="str">
        <f>IF(C63="nie","Zaplanuj montaż poręczy w odpowiednim odstępie od siebie.","")</f>
        <v>Zaplanuj montaż poręczy w odpowiednim odstępie od siebie.</v>
      </c>
    </row>
    <row r="64" spans="1:30" ht="63" customHeight="1" x14ac:dyDescent="0.25">
      <c r="A64" s="19" t="s">
        <v>94</v>
      </c>
      <c r="B64" s="20" t="s">
        <v>104</v>
      </c>
      <c r="C64" s="21" t="s">
        <v>9</v>
      </c>
      <c r="D64" s="22" t="str">
        <f>IF(C64="nie","W opisie dostępności budynku podaj informację o tym, jak wygląda pochylnia i na jakich wysokościach znajdują się poręcze.","")</f>
        <v>W opisie dostępności budynku podaj informację o tym, jak wygląda pochylnia i na jakich wysokościach znajdują się poręcze.</v>
      </c>
      <c r="E64" s="22" t="str">
        <f>IF(C64="nie","Zaplanuj montaż poręczy na odpowiednich wysokościach – powinny być dwie po lewej i dwie po prawej stronie biegu, na wysokościach 90 cm i 75 cm od poziomu pochylni.","")</f>
        <v>Zaplanuj montaż poręczy na odpowiednich wysokościach – powinny być dwie po lewej i dwie po prawej stronie biegu, na wysokościach 90 cm i 75 cm od poziomu pochylni.</v>
      </c>
    </row>
    <row r="65" spans="1:29" ht="31.5" x14ac:dyDescent="0.25">
      <c r="A65" s="19" t="s">
        <v>95</v>
      </c>
      <c r="B65" s="20" t="s">
        <v>106</v>
      </c>
      <c r="C65" s="21" t="s">
        <v>9</v>
      </c>
      <c r="D65" s="22"/>
      <c r="E65" s="22" t="str">
        <f>IF(C65="nie","Zaplanuj wymianę poręczy na odpowiednio przedłużone.","")</f>
        <v>Zaplanuj wymianę poręczy na odpowiednio przedłużone.</v>
      </c>
    </row>
    <row r="66" spans="1:29" ht="31.5" x14ac:dyDescent="0.25">
      <c r="A66" s="19" t="s">
        <v>96</v>
      </c>
      <c r="B66" s="20" t="s">
        <v>76</v>
      </c>
      <c r="C66" s="21" t="s">
        <v>9</v>
      </c>
      <c r="D66" s="22"/>
      <c r="E66" s="22" t="str">
        <f>IF(C66="nie","Zaplanuj wymianę poręczy na odpowiednio zakończone.","")</f>
        <v>Zaplanuj wymianę poręczy na odpowiednio zakończone.</v>
      </c>
    </row>
    <row r="67" spans="1:29" x14ac:dyDescent="0.25">
      <c r="AC67" s="13"/>
    </row>
    <row r="68" spans="1:29" ht="21" x14ac:dyDescent="0.25">
      <c r="A68" s="30" t="s">
        <v>189</v>
      </c>
      <c r="B68" s="30"/>
      <c r="C68" s="30"/>
      <c r="D68" s="30"/>
      <c r="E68" s="30"/>
      <c r="AC68" s="12"/>
    </row>
    <row r="69" spans="1:29" x14ac:dyDescent="0.25">
      <c r="B69" s="5"/>
      <c r="D69" s="8"/>
    </row>
    <row r="70" spans="1:29" ht="19.899999999999999" customHeight="1" x14ac:dyDescent="0.25">
      <c r="A70" s="16"/>
      <c r="B70" s="17" t="s">
        <v>5</v>
      </c>
      <c r="C70" s="18" t="s">
        <v>6</v>
      </c>
      <c r="D70" s="17" t="s">
        <v>26</v>
      </c>
      <c r="E70" s="17" t="s">
        <v>27</v>
      </c>
      <c r="AC70" s="14" t="s">
        <v>108</v>
      </c>
    </row>
    <row r="71" spans="1:29" ht="31.5" x14ac:dyDescent="0.25">
      <c r="A71" s="19" t="s">
        <v>97</v>
      </c>
      <c r="B71" s="20" t="s">
        <v>107</v>
      </c>
      <c r="C71" s="23" t="s">
        <v>108</v>
      </c>
      <c r="D71" s="22"/>
      <c r="E71" s="22"/>
      <c r="AC71" s="14" t="s">
        <v>109</v>
      </c>
    </row>
    <row r="72" spans="1:29" ht="33.75" customHeight="1" x14ac:dyDescent="0.25">
      <c r="A72" s="19" t="str">
        <f>IF(C71=AC70,"43.","")</f>
        <v>43.</v>
      </c>
      <c r="B72" s="20" t="str">
        <f>IF(C71=AC70,"Platforma podnośnika pionowego ma wymiary co najmniej 0,9 x 1,2 m.","")</f>
        <v>Platforma podnośnika pionowego ma wymiary co najmniej 0,9 x 1,2 m.</v>
      </c>
      <c r="C72" s="21" t="s">
        <v>9</v>
      </c>
      <c r="D72" s="22" t="str">
        <f>IF(AND(C71=AC70,C72="nie"),"W opisie dostępności budynku podaj informację o wymiarach platformy podnośnika.","")</f>
        <v>W opisie dostępności budynku podaj informację o wymiarach platformy podnośnika.</v>
      </c>
      <c r="E72" s="22" t="str">
        <f>IF(AND(C71=AC70,C72="nie"),"Sprawdź, czy możliwa jest jego wymiana na większy. Jeśli tak, zaplanuj takie prace. ","")</f>
        <v xml:space="preserve">Sprawdź, czy możliwa jest jego wymiana na większy. Jeśli tak, zaplanuj takie prace. </v>
      </c>
    </row>
    <row r="73" spans="1:29" x14ac:dyDescent="0.25">
      <c r="A73" s="19" t="str">
        <f>IF(C71=AC71,"44.","")</f>
        <v/>
      </c>
      <c r="B73" s="20" t="str">
        <f>IF(C71=AC71,"Platforma podnośnika ukośnego ma wymiary co najmniej 0,8 x 1 m.","")</f>
        <v/>
      </c>
      <c r="C73" s="21"/>
      <c r="D73" s="22" t="str">
        <f>IF(AND(C71=AC71,C73="nie"),"W opisie dostępności budynku podaj informację o wymiarach platformy podnośnika.","")</f>
        <v/>
      </c>
      <c r="E73" s="22" t="str">
        <f>IF(AND(C71=AC71,C73="nie"),"Sprawdź, czy możliwa jest jego wymiana na większy. Jeśli tak, zaplanuj takie prace. ","")</f>
        <v/>
      </c>
    </row>
    <row r="74" spans="1:29" ht="80.45" customHeight="1" x14ac:dyDescent="0.25">
      <c r="A74" s="19" t="s">
        <v>110</v>
      </c>
      <c r="B74" s="20" t="s">
        <v>116</v>
      </c>
      <c r="C74" s="21" t="s">
        <v>9</v>
      </c>
      <c r="D74" s="22" t="str">
        <f>IF(C74="nie","W opisie dostępności budynku podaj informację o tym, jak wygląda podnośnik i miejsca wejścia na niego / zejścia z niego.","")</f>
        <v>W opisie dostępności budynku podaj informację o tym, jak wygląda podnośnik i miejsca wejścia na niego / zejścia z niego.</v>
      </c>
      <c r="E74" s="22" t="str">
        <f>IF(C74="nie","Sprawdź, czy możliwa jest zmiana lokalizacji podnośnika w taki sposób, żeby przed platformą i za nią była odpowiednia przestrzeń do manewrowania wózkiem (co najmniej 1,5 x 1,5 m). Jeśli tak, zaplanuj takie prace. ","")</f>
        <v xml:space="preserve">Sprawdź, czy możliwa jest zmiana lokalizacji podnośnika w taki sposób, żeby przed platformą i za nią była odpowiednia przestrzeń do manewrowania wózkiem (co najmniej 1,5 x 1,5 m). Jeśli tak, zaplanuj takie prace. </v>
      </c>
    </row>
    <row r="75" spans="1:29" ht="67.150000000000006" customHeight="1" x14ac:dyDescent="0.25">
      <c r="A75" s="19" t="s">
        <v>111</v>
      </c>
      <c r="B75" s="20" t="s">
        <v>120</v>
      </c>
      <c r="C75" s="21" t="s">
        <v>9</v>
      </c>
      <c r="D75" s="22" t="str">
        <f>IF(C75="tak","Podaj informację o udźwigu podnośnika również w opisie dostępności budynku.",IF(C75="nie",AC75,""))</f>
        <v>Sprawdź, jaki jest udźwig tego konkretnego modelu podnośnika i podaj informację o nim – powinna się ona znaleźć i w opisie dostępności budynku, i przy samym podnośniku.</v>
      </c>
      <c r="E75" s="22"/>
      <c r="AC75" s="6" t="s">
        <v>117</v>
      </c>
    </row>
    <row r="76" spans="1:29" ht="51.6" customHeight="1" x14ac:dyDescent="0.25">
      <c r="A76" s="19" t="s">
        <v>112</v>
      </c>
      <c r="B76" s="20" t="s">
        <v>118</v>
      </c>
      <c r="C76" s="21" t="s">
        <v>9</v>
      </c>
      <c r="D76" s="22" t="str">
        <f>IF(C76="tak","Podaj informację o udźwigu podnośnika również w opisie dostępności budynku.",IF(C76="nie",AC76,""))</f>
        <v xml:space="preserve">Podaj informację o udźwigu podnośnika – powinna się ona znaleźć i w opisie dostępności budynku, i przy samym podnośniku. </v>
      </c>
      <c r="E76" s="22" t="str">
        <f>IF(C76="nie","Zaplanuj wymianę podnośnika na taki, który będzie miał udźwig co najmniej 300 kg.","")</f>
        <v>Zaplanuj wymianę podnośnika na taki, który będzie miał udźwig co najmniej 300 kg.</v>
      </c>
      <c r="AC76" s="6" t="s">
        <v>119</v>
      </c>
    </row>
    <row r="77" spans="1:29" ht="33.6" customHeight="1" x14ac:dyDescent="0.25">
      <c r="A77" s="19" t="s">
        <v>113</v>
      </c>
      <c r="B77" s="20" t="s">
        <v>121</v>
      </c>
      <c r="C77" s="21" t="s">
        <v>9</v>
      </c>
      <c r="D77" s="22" t="str">
        <f>IF(C77="nie","Podaj instrukcję obsługi podnośnika – powinna się ona znaleźć w najbliższym sąsiedztwie urządzenia. ","")</f>
        <v xml:space="preserve">Podaj instrukcję obsługi podnośnika – powinna się ona znaleźć w najbliższym sąsiedztwie urządzenia. </v>
      </c>
      <c r="E77" s="22"/>
    </row>
    <row r="78" spans="1:29" ht="63" x14ac:dyDescent="0.25">
      <c r="A78" s="19" t="s">
        <v>114</v>
      </c>
      <c r="B78" s="20" t="s">
        <v>122</v>
      </c>
      <c r="C78" s="21" t="s">
        <v>9</v>
      </c>
      <c r="D78" s="22" t="str">
        <f>IF(C78="nie","Podaj informację o konieczności skontaktowania się z pracownikami obiektu w celu skorzystania z podnośnika - powinna się ona znaleźć i w opisie dostępności budynku, i przy samym podnośniku. ","")</f>
        <v xml:space="preserve">Podaj informację o konieczności skontaktowania się z pracownikami obiektu w celu skorzystania z podnośnika - powinna się ona znaleźć i w opisie dostępności budynku, i przy samym podnośniku. </v>
      </c>
      <c r="E78" s="22" t="str">
        <f>IF(C78="nie","Zaplanuj wymianę podnośnika na taki, który może być obsługiwany samodzielnie przez użytkownika. ","")</f>
        <v xml:space="preserve">Zaplanuj wymianę podnośnika na taki, który może być obsługiwany samodzielnie przez użytkownika. </v>
      </c>
    </row>
    <row r="79" spans="1:29" x14ac:dyDescent="0.25">
      <c r="AC79" s="13"/>
    </row>
    <row r="80" spans="1:29" ht="21" x14ac:dyDescent="0.25">
      <c r="A80" s="30" t="s">
        <v>188</v>
      </c>
      <c r="B80" s="30"/>
      <c r="C80" s="30"/>
      <c r="D80" s="30"/>
      <c r="E80" s="30"/>
      <c r="AC80" s="12"/>
    </row>
    <row r="81" spans="1:29" x14ac:dyDescent="0.25">
      <c r="B81" s="5"/>
      <c r="D81" s="8"/>
    </row>
    <row r="82" spans="1:29" ht="19.899999999999999" customHeight="1" x14ac:dyDescent="0.25">
      <c r="A82" s="16"/>
      <c r="B82" s="17" t="s">
        <v>5</v>
      </c>
      <c r="C82" s="18" t="s">
        <v>6</v>
      </c>
      <c r="D82" s="17" t="s">
        <v>26</v>
      </c>
      <c r="E82" s="17" t="s">
        <v>27</v>
      </c>
      <c r="AC82" s="14" t="s">
        <v>108</v>
      </c>
    </row>
    <row r="83" spans="1:29" ht="53.45" customHeight="1" x14ac:dyDescent="0.25">
      <c r="A83" s="19" t="s">
        <v>115</v>
      </c>
      <c r="B83" s="20" t="s">
        <v>140</v>
      </c>
      <c r="C83" s="21" t="s">
        <v>9</v>
      </c>
      <c r="D83" s="22" t="str">
        <f>IF(C83="nie","W opisie dostępności budynku podaj informację o tym, na jakiej wysokości znajduje się panel sterujący.","")</f>
        <v>W opisie dostępności budynku podaj informację o tym, na jakiej wysokości znajduje się panel sterujący.</v>
      </c>
      <c r="E83" s="22" t="str">
        <f>IF(C83="nie","Sprawdź, czy możliwa jest zmiana wysokości montażu panelu. Jeśli tak, zaplanuj takie prace.","")</f>
        <v>Sprawdź, czy możliwa jest zmiana wysokości montażu panelu. Jeśli tak, zaplanuj takie prace.</v>
      </c>
    </row>
    <row r="84" spans="1:29" ht="49.15" customHeight="1" x14ac:dyDescent="0.25">
      <c r="A84" s="19" t="s">
        <v>123</v>
      </c>
      <c r="B84" s="20" t="s">
        <v>141</v>
      </c>
      <c r="C84" s="21" t="s">
        <v>9</v>
      </c>
      <c r="D84" s="22" t="str">
        <f>IF(C84="nie","W opisie dostępności budynku podaj informację o tym, jak można obsłużyć panel. ","")</f>
        <v xml:space="preserve">W opisie dostępności budynku podaj informację o tym, jak można obsłużyć panel. </v>
      </c>
      <c r="E84" s="22" t="str">
        <f>IF(C84="nie","Sprawdź, czy możliwa jest wymiana panelu na nowy, z wystającymi przyciskami. Jeśli tak, zaplanuj takie prace.","")</f>
        <v>Sprawdź, czy możliwa jest wymiana panelu na nowy, z wystającymi przyciskami. Jeśli tak, zaplanuj takie prace.</v>
      </c>
    </row>
    <row r="85" spans="1:29" ht="47.25" x14ac:dyDescent="0.25">
      <c r="A85" s="19" t="s">
        <v>124</v>
      </c>
      <c r="B85" s="20" t="s">
        <v>142</v>
      </c>
      <c r="C85" s="21" t="s">
        <v>9</v>
      </c>
      <c r="D85" s="22"/>
      <c r="E85" s="22" t="str">
        <f>IF(C85="nie","Sprawdź, czy możliwa jest wymiana panelu na nowy, z wypukłymi oznaczeniami lub opisem brajlowskim. Jeśli tak, zaplanuj takie prace.","")</f>
        <v>Sprawdź, czy możliwa jest wymiana panelu na nowy, z wypukłymi oznaczeniami lub opisem brajlowskim. Jeśli tak, zaplanuj takie prace.</v>
      </c>
    </row>
    <row r="86" spans="1:29" ht="47.25" x14ac:dyDescent="0.25">
      <c r="A86" s="19" t="s">
        <v>125</v>
      </c>
      <c r="B86" s="20" t="s">
        <v>143</v>
      </c>
      <c r="C86" s="21" t="s">
        <v>9</v>
      </c>
      <c r="D86" s="22" t="str">
        <f>IF(C86="nie","Oznacz drzwi windy kontrastowymi pasami wokół framugi – pasy powinny być łatwe do zauważenia i mieć szerokość 7-10 cm.","")</f>
        <v>Oznacz drzwi windy kontrastowymi pasami wokół framugi – pasy powinny być łatwe do zauważenia i mieć szerokość 7-10 cm.</v>
      </c>
      <c r="E86" s="22"/>
    </row>
    <row r="87" spans="1:29" ht="31.15" customHeight="1" x14ac:dyDescent="0.25">
      <c r="A87" s="19" t="s">
        <v>126</v>
      </c>
      <c r="B87" s="20" t="s">
        <v>144</v>
      </c>
      <c r="C87" s="21" t="s">
        <v>9</v>
      </c>
      <c r="D87" s="22" t="str">
        <f>IF(C87="nie","W opisie dostępności budynku podaj informację o szerokości drzwi do kabiny. ","")</f>
        <v xml:space="preserve">W opisie dostępności budynku podaj informację o szerokości drzwi do kabiny. </v>
      </c>
      <c r="E87" s="22" t="str">
        <f>IF(C87="nie","Sprawdź, czy możliwe jest poszerzenie drzwi do windy. Jeśli tak, zaplanuj takie prace.","")</f>
        <v>Sprawdź, czy możliwe jest poszerzenie drzwi do windy. Jeśli tak, zaplanuj takie prace.</v>
      </c>
    </row>
    <row r="88" spans="1:29" ht="47.45" customHeight="1" x14ac:dyDescent="0.25">
      <c r="A88" s="19" t="s">
        <v>127</v>
      </c>
      <c r="B88" s="20" t="s">
        <v>145</v>
      </c>
      <c r="C88" s="21" t="s">
        <v>9</v>
      </c>
      <c r="D88" s="22" t="str">
        <f>IF(C88="nie","W opisie dostępności budynku podaj informację o tym, w jaki sposób otwierają się drzwi (np. gdzie jest klamka i czy potrzeba wiele siły do ich otwarcia). ","")</f>
        <v xml:space="preserve">W opisie dostępności budynku podaj informację o tym, w jaki sposób otwierają się drzwi (np. gdzie jest klamka i czy potrzeba wiele siły do ich otwarcia). </v>
      </c>
      <c r="E88" s="22" t="str">
        <f>IF(C88="nie","Sprawdź, czy możliwa jest wymiana drzwi do windy na takie, które otwierają się automatycznie. Jeśli tak, zaplanuj takie prace.","")</f>
        <v>Sprawdź, czy możliwa jest wymiana drzwi do windy na takie, które otwierają się automatycznie. Jeśli tak, zaplanuj takie prace.</v>
      </c>
    </row>
    <row r="89" spans="1:29" ht="63.6" customHeight="1" x14ac:dyDescent="0.25">
      <c r="A89" s="19" t="s">
        <v>128</v>
      </c>
      <c r="B89" s="20" t="s">
        <v>146</v>
      </c>
      <c r="C89" s="21" t="s">
        <v>9</v>
      </c>
      <c r="D89" s="22" t="str">
        <f>IF(C89="nie","W opisie dostępności budynku podaj informację, że drzwi nie zatrzymują się automatycznie (czyli mogą kogoś przytrzasnąć). ","")</f>
        <v xml:space="preserve">W opisie dostępności budynku podaj informację, że drzwi nie zatrzymują się automatycznie (czyli mogą kogoś przytrzasnąć). </v>
      </c>
      <c r="E89" s="22" t="str">
        <f>IF(C89="nie","Sprawdź, czy możliwa jest wymiana drzwi do windy na takie, które otwierają się automatycznie i mają czujniki, zatrzymujące ich zamykanie. Jeśli tak, zaplanuj takie prace.","")</f>
        <v>Sprawdź, czy możliwa jest wymiana drzwi do windy na takie, które otwierają się automatycznie i mają czujniki, zatrzymujące ich zamykanie. Jeśli tak, zaplanuj takie prace.</v>
      </c>
    </row>
    <row r="90" spans="1:29" ht="63.6" customHeight="1" x14ac:dyDescent="0.25">
      <c r="A90" s="19" t="s">
        <v>129</v>
      </c>
      <c r="B90" s="20" t="s">
        <v>147</v>
      </c>
      <c r="C90" s="21" t="s">
        <v>9</v>
      </c>
      <c r="D90" s="22" t="str">
        <f>IF(OR(C90="tak",C90="nie"),"W opisie dostępności budynku podaj informację o wymiarach kabiny. ","")</f>
        <v xml:space="preserve">W opisie dostępności budynku podaj informację o wymiarach kabiny. </v>
      </c>
      <c r="E90" s="22" t="str">
        <f>IF(C90="nie","Sprawdź, czy możliwa jest wymiana windy na większą. Jeśli tak, zaplanuj takie prace i poszukaj finansowania (to prawdopodobnie nie będzie tanie przedsięwzięcie).","")</f>
        <v>Sprawdź, czy możliwa jest wymiana windy na większą. Jeśli tak, zaplanuj takie prace i poszukaj finansowania (to prawdopodobnie nie będzie tanie przedsięwzięcie).</v>
      </c>
    </row>
    <row r="91" spans="1:29" ht="47.25" x14ac:dyDescent="0.25">
      <c r="A91" s="19" t="s">
        <v>130</v>
      </c>
      <c r="B91" s="20" t="s">
        <v>148</v>
      </c>
      <c r="C91" s="21" t="s">
        <v>9</v>
      </c>
      <c r="D91" s="22" t="str">
        <f>IF(C91="tak","W opisie dostępności budynku dodaj fotografię wnętrza kabiny i lustra w niej.",IF(C91="nie dotyczy","W opisie dostępności budynku dodaj fotografię wnętrza kabiny.",IF(C91="nie","W opisie dostępności budynku podaj informację o wysokości, na której znajduje się lustro – dodaj fotografię wnętrza kabiny i lustra w niej.","")))</f>
        <v>W opisie dostępności budynku podaj informację o wysokości, na której znajduje się lustro – dodaj fotografię wnętrza kabiny i lustra w niej.</v>
      </c>
      <c r="E91" s="22" t="str">
        <f>IF(C91="nie","Zaplanuj wymianę lustra na większe, od wysokości ok. 40 cm na podłogą.","")</f>
        <v>Zaplanuj wymianę lustra na większe, od wysokości ok. 40 cm na podłogą.</v>
      </c>
    </row>
    <row r="92" spans="1:29" ht="31.5" x14ac:dyDescent="0.25">
      <c r="A92" s="19" t="s">
        <v>131</v>
      </c>
      <c r="B92" s="20" t="s">
        <v>149</v>
      </c>
      <c r="C92" s="21" t="s">
        <v>9</v>
      </c>
      <c r="D92" s="22" t="str">
        <f>IF(C92="nie","Zaplanuj montaż przynajmniej jednej poręczy w kabinie windy.","")</f>
        <v>Zaplanuj montaż przynajmniej jednej poręczy w kabinie windy.</v>
      </c>
      <c r="E92" s="22"/>
    </row>
    <row r="93" spans="1:29" ht="53.45" customHeight="1" x14ac:dyDescent="0.25">
      <c r="A93" s="19" t="s">
        <v>132</v>
      </c>
      <c r="B93" s="20" t="s">
        <v>150</v>
      </c>
      <c r="C93" s="21" t="s">
        <v>9</v>
      </c>
      <c r="D93" s="22" t="str">
        <f>IF(C93="nie","W opisie dostępności budynku podaj informację o tym, na jakiej wysokości znajduje się panel sterujący.","")</f>
        <v>W opisie dostępności budynku podaj informację o tym, na jakiej wysokości znajduje się panel sterujący.</v>
      </c>
      <c r="E93" s="22" t="str">
        <f>IF(C93="nie","Sprawdź, czy możliwa jest zmiana wysokości montażu panelu. Jeśli tak, zaplanuj takie prace.","")</f>
        <v>Sprawdź, czy możliwa jest zmiana wysokości montażu panelu. Jeśli tak, zaplanuj takie prace.</v>
      </c>
    </row>
    <row r="94" spans="1:29" ht="46.9" customHeight="1" x14ac:dyDescent="0.25">
      <c r="A94" s="19" t="s">
        <v>133</v>
      </c>
      <c r="B94" s="20" t="s">
        <v>151</v>
      </c>
      <c r="C94" s="21" t="s">
        <v>9</v>
      </c>
      <c r="D94" s="22"/>
      <c r="E94" s="22" t="str">
        <f>IF(C94="nie","Sprawdź, czy możliwa jest wymiana panelu na nowy, z wypukłymi oznaczeniami lub opisem brajlowskim. Jeśli tak, zaplanuj takie prace.","")</f>
        <v>Sprawdź, czy możliwa jest wymiana panelu na nowy, z wypukłymi oznaczeniami lub opisem brajlowskim. Jeśli tak, zaplanuj takie prace.</v>
      </c>
    </row>
    <row r="95" spans="1:29" ht="62.45" customHeight="1" x14ac:dyDescent="0.25">
      <c r="A95" s="19" t="s">
        <v>134</v>
      </c>
      <c r="B95" s="20" t="s">
        <v>152</v>
      </c>
      <c r="C95" s="21" t="s">
        <v>9</v>
      </c>
      <c r="D95" s="22" t="str">
        <f>IF(C95="nie","W opisie dostępności budynku oraz wewnątrz windy podaj informację o tym, w jaki sposób przywołać pomoc w przypadku awarii windy (np. numer telefonu).","")</f>
        <v>W opisie dostępności budynku oraz wewnątrz windy podaj informację o tym, w jaki sposób przywołać pomoc w przypadku awarii windy (np. numer telefonu).</v>
      </c>
      <c r="E95" s="22" t="str">
        <f>IF(C95="nie","Sprawdź, czy możliwy jest montaż w windzie instalacji alarmowej. Jeśli tak, zaplanuj takie prace.","")</f>
        <v>Sprawdź, czy możliwy jest montaż w windzie instalacji alarmowej. Jeśli tak, zaplanuj takie prace.</v>
      </c>
    </row>
    <row r="96" spans="1:29" ht="51.6" customHeight="1" x14ac:dyDescent="0.25">
      <c r="A96" s="19" t="s">
        <v>135</v>
      </c>
      <c r="B96" s="20" t="s">
        <v>153</v>
      </c>
      <c r="C96" s="21" t="s">
        <v>9</v>
      </c>
      <c r="D96" s="22" t="str">
        <f>IF(C96="tak","W opisie dostępności budynku podaj informację o tym, w jaki sposób podawany jest numer piętra (np. na wyświetlaczu, głosowo).",IF(C96="nie","W opisie dostępności budynku podaj informację o tym, w jaki sposób podawany jest numer piętra (np. głosowo, w ogóle nie jest podawany).",""))</f>
        <v>W opisie dostępności budynku podaj informację o tym, w jaki sposób podawany jest numer piętra (np. głosowo, w ogóle nie jest podawany).</v>
      </c>
      <c r="E96" s="22" t="str">
        <f>IF(C96="nie","Sprawdź, czy możliwe jest dodanie wyświetlacza w windzie. Jeśli tak, zaplanuj takie prace.","")</f>
        <v>Sprawdź, czy możliwe jest dodanie wyświetlacza w windzie. Jeśli tak, zaplanuj takie prace.</v>
      </c>
    </row>
    <row r="97" spans="1:29" ht="47.25" x14ac:dyDescent="0.25">
      <c r="A97" s="19" t="s">
        <v>136</v>
      </c>
      <c r="B97" s="20" t="s">
        <v>154</v>
      </c>
      <c r="C97" s="21" t="s">
        <v>9</v>
      </c>
      <c r="D97" s="22" t="str">
        <f>IF(C97="tak","W opisie dostępności budynku podaj informację o tym, w jaki sposób podawany jest numer piętra (np. na wyświetlaczu, głosowo).",IF(C97="nie","W opisie dostępności budynku podaj informację o tym, w jaki sposób podawany jest numer piętra (np. na wyświetlaczu, w ogóle nie jest podawany).",""))</f>
        <v>W opisie dostępności budynku podaj informację o tym, w jaki sposób podawany jest numer piętra (np. na wyświetlaczu, w ogóle nie jest podawany).</v>
      </c>
      <c r="E97" s="22" t="str">
        <f>IF(C97="nie","Sprawdź, czy możliwe jest dodanie informacji głosowych w windzie. Jeśli tak, zaplanuj takie prace.","")</f>
        <v>Sprawdź, czy możliwe jest dodanie informacji głosowych w windzie. Jeśli tak, zaplanuj takie prace.</v>
      </c>
    </row>
    <row r="98" spans="1:29" ht="49.9" customHeight="1" x14ac:dyDescent="0.25">
      <c r="A98" s="19" t="s">
        <v>137</v>
      </c>
      <c r="B98" s="20" t="s">
        <v>155</v>
      </c>
      <c r="C98" s="21" t="s">
        <v>9</v>
      </c>
      <c r="D98" s="22" t="str">
        <f>IF(C98="tak","W opisie dostępności budynku podaj informację o tym, w jaki sposób podawany jest kierunek jazdy windy (np. na wyświetlaczu, głosowo).",IF(C98="nie","W opisie dostępności budynku podaj informację o tym, w jaki sposób podawany jest kierunek jazdy windy (np. głosowo, w ogóle nie jest podawany).",""))</f>
        <v>W opisie dostępności budynku podaj informację o tym, w jaki sposób podawany jest kierunek jazdy windy (np. głosowo, w ogóle nie jest podawany).</v>
      </c>
      <c r="E98" s="22" t="str">
        <f>IF(C98="nie","Sprawdź, czy możliwe jest dodanie wyświetlacza w windzie. Jeśli tak, zaplanuj takie prace.","")</f>
        <v>Sprawdź, czy możliwe jest dodanie wyświetlacza w windzie. Jeśli tak, zaplanuj takie prace.</v>
      </c>
    </row>
    <row r="99" spans="1:29" ht="46.15" customHeight="1" x14ac:dyDescent="0.25">
      <c r="A99" s="19" t="s">
        <v>138</v>
      </c>
      <c r="B99" s="20" t="s">
        <v>156</v>
      </c>
      <c r="C99" s="21" t="s">
        <v>9</v>
      </c>
      <c r="D99" s="22" t="str">
        <f>IF(C99="tak","W opisie dostępności budynku podaj informację o tym, w jaki sposób podawany jest kierunek jazdy windy (np. na wyświetlaczu, głosowo).",IF(C99="nie","W opisie dostępności budynku podaj informację o tym, w jaki sposób podawany jest kierunek jazdy (np. na wyświetlaczu, w ogóle nie jest podawany).",""))</f>
        <v>W opisie dostępności budynku podaj informację o tym, w jaki sposób podawany jest kierunek jazdy (np. na wyświetlaczu, w ogóle nie jest podawany).</v>
      </c>
      <c r="E99" s="22" t="str">
        <f>IF(C99="nie","Sprawdź, czy możliwe jest dodanie informacji głosowych w windzie. Jeśli tak, zaplanuj takie prace.","")</f>
        <v>Sprawdź, czy możliwe jest dodanie informacji głosowych w windzie. Jeśli tak, zaplanuj takie prace.</v>
      </c>
    </row>
    <row r="100" spans="1:29" ht="78" customHeight="1" x14ac:dyDescent="0.25">
      <c r="A100" s="19" t="s">
        <v>139</v>
      </c>
      <c r="B100" s="20" t="s">
        <v>219</v>
      </c>
      <c r="C100" s="21" t="s">
        <v>9</v>
      </c>
      <c r="D100" s="22" t="str">
        <f>IF(C100="tak",AC100,IF(C100="nie","W opisie dostępności budynku podaj informację o tym, w jaki sposób podawana jest informacja o otwieraniu drzwi (np. np. głosowo – komunikat „drzwi się otwierają”, dźwiękowo – pojedynczy sygnał, w ogóle nie jest podawany). ",""))</f>
        <v xml:space="preserve">W opisie dostępności budynku podaj informację o tym, w jaki sposób podawana jest informacja o otwieraniu drzwi (np. np. głosowo – komunikat „drzwi się otwierają”, dźwiękowo – pojedynczy sygnał, w ogóle nie jest podawany). </v>
      </c>
      <c r="E100" s="22" t="str">
        <f>IF(C100="nie","Sprawdź, czy możliwe jest dodanie informacji głosowych / dźwiękowych w windzie. Jeśli tak, zaplanuj takie prace.","")</f>
        <v>Sprawdź, czy możliwe jest dodanie informacji głosowych / dźwiękowych w windzie. Jeśli tak, zaplanuj takie prace.</v>
      </c>
      <c r="AC100" s="4" t="s">
        <v>157</v>
      </c>
    </row>
    <row r="101" spans="1:29" x14ac:dyDescent="0.25">
      <c r="AC101" s="13"/>
    </row>
    <row r="102" spans="1:29" ht="21" x14ac:dyDescent="0.25">
      <c r="A102" s="30" t="s">
        <v>187</v>
      </c>
      <c r="B102" s="30"/>
      <c r="C102" s="30"/>
      <c r="D102" s="30"/>
      <c r="E102" s="30"/>
      <c r="AC102" s="12"/>
    </row>
    <row r="103" spans="1:29" x14ac:dyDescent="0.25">
      <c r="B103" s="5"/>
      <c r="D103" s="8"/>
    </row>
    <row r="104" spans="1:29" ht="19.899999999999999" customHeight="1" x14ac:dyDescent="0.25">
      <c r="A104" s="16"/>
      <c r="B104" s="17" t="s">
        <v>5</v>
      </c>
      <c r="C104" s="18" t="s">
        <v>6</v>
      </c>
      <c r="D104" s="17" t="s">
        <v>26</v>
      </c>
      <c r="E104" s="17" t="s">
        <v>27</v>
      </c>
      <c r="AC104" s="14" t="s">
        <v>108</v>
      </c>
    </row>
    <row r="105" spans="1:29" ht="47.25" x14ac:dyDescent="0.25">
      <c r="A105" s="19" t="s">
        <v>158</v>
      </c>
      <c r="B105" s="20" t="s">
        <v>170</v>
      </c>
      <c r="C105" s="21" t="s">
        <v>9</v>
      </c>
      <c r="D105" s="22" t="str">
        <f>IF(C105="nie","Usuń wszystkie wystające wycieraczki, kratki i skrobaczki, o które można się potknąć.","")</f>
        <v>Usuń wszystkie wystające wycieraczki, kratki i skrobaczki, o które można się potknąć.</v>
      </c>
      <c r="E105" s="22"/>
    </row>
    <row r="106" spans="1:29" ht="47.25" x14ac:dyDescent="0.25">
      <c r="A106" s="19" t="s">
        <v>160</v>
      </c>
      <c r="B106" s="20" t="s">
        <v>171</v>
      </c>
      <c r="C106" s="21" t="s">
        <v>9</v>
      </c>
      <c r="D106" s="22" t="str">
        <f>IF(C106="nie","W opisie dostępności budynku podaj informację o tym, gdzie dokładnie znajduje się domofon / dzwonek. ","")</f>
        <v xml:space="preserve">W opisie dostępności budynku podaj informację o tym, gdzie dokładnie znajduje się domofon / dzwonek. </v>
      </c>
      <c r="E106" s="22" t="str">
        <f>IF(C106="nie","Zaplanuj przeniesienie domofonu / dzwonka w taki sposób, żeby wszystkie przyciski znajdowały się na wysokości w przedziale 0,8-1,1 m.","")</f>
        <v>Zaplanuj przeniesienie domofonu / dzwonka w taki sposób, żeby wszystkie przyciski znajdowały się na wysokości w przedziale 0,8-1,1 m.</v>
      </c>
    </row>
    <row r="107" spans="1:29" ht="33.6" customHeight="1" x14ac:dyDescent="0.25">
      <c r="A107" s="19" t="s">
        <v>161</v>
      </c>
      <c r="B107" s="20" t="s">
        <v>172</v>
      </c>
      <c r="C107" s="21" t="s">
        <v>9</v>
      </c>
      <c r="D107" s="22" t="str">
        <f>IF(C107="nie","W opisie dostępności budynku podaj informację o szerokości drzwi wejściowych.","")</f>
        <v>W opisie dostępności budynku podaj informację o szerokości drzwi wejściowych.</v>
      </c>
      <c r="E107" s="22" t="str">
        <f>IF(C107="nie","Sprawdź, czy możliwe jest poszerzenie wejścia. Jeśli tak, zaplanuj takie prace.","")</f>
        <v>Sprawdź, czy możliwe jest poszerzenie wejścia. Jeśli tak, zaplanuj takie prace.</v>
      </c>
    </row>
    <row r="108" spans="1:29" ht="47.45" customHeight="1" x14ac:dyDescent="0.25">
      <c r="A108" s="19" t="s">
        <v>162</v>
      </c>
      <c r="B108" s="20" t="s">
        <v>173</v>
      </c>
      <c r="C108" s="21" t="s">
        <v>9</v>
      </c>
      <c r="D108" s="22" t="str">
        <f>IF(C108="nie","W opisie dostępności budynku podaj informację o wysokości progu. ","")</f>
        <v xml:space="preserve">W opisie dostępności budynku podaj informację o wysokości progu. </v>
      </c>
      <c r="E108" s="22" t="str">
        <f>IF(C108="nie","Sprawdź, czy możliwe jest zmniejszenie progu lub jego całkowite zniwelowanie. Jeśli tak, zaplanuj takie prace.","")</f>
        <v>Sprawdź, czy możliwe jest zmniejszenie progu lub jego całkowite zniwelowanie. Jeśli tak, zaplanuj takie prace.</v>
      </c>
    </row>
    <row r="109" spans="1:29" x14ac:dyDescent="0.25">
      <c r="A109" s="19" t="s">
        <v>163</v>
      </c>
      <c r="B109" s="20" t="s">
        <v>174</v>
      </c>
      <c r="C109" s="21" t="s">
        <v>9</v>
      </c>
      <c r="D109" s="29" t="str">
        <f>IF(C109="tak","Przejdź do pytania 75.",IF(C109="nie","Przejdź do pytania 73.",""))</f>
        <v>Przejdź do pytania 73.</v>
      </c>
      <c r="E109" s="29"/>
    </row>
    <row r="110" spans="1:29" ht="49.9" customHeight="1" x14ac:dyDescent="0.25">
      <c r="A110" s="19" t="s">
        <v>164</v>
      </c>
      <c r="B110" s="20" t="s">
        <v>175</v>
      </c>
      <c r="C110" s="21" t="s">
        <v>9</v>
      </c>
      <c r="D110" s="22" t="str">
        <f>IF(C110="nie","W opisie dostępności budynku podaj informację o tym, że otwarcie drzwi wymaga znacznej siły. ","")</f>
        <v xml:space="preserve">W opisie dostępności budynku podaj informację o tym, że otwarcie drzwi wymaga znacznej siły. </v>
      </c>
      <c r="E110" s="22" t="str">
        <f>IF(C110="nie","Sprawdź, czy możliwe jest zamontowanie systemów wspomagania otwierania albo wymiana drzwi na lżejsze / łatwiejsze do otwierania.","")</f>
        <v>Sprawdź, czy możliwe jest zamontowanie systemów wspomagania otwierania albo wymiana drzwi na lżejsze / łatwiejsze do otwierania.</v>
      </c>
    </row>
    <row r="111" spans="1:29" ht="51.6" customHeight="1" x14ac:dyDescent="0.25">
      <c r="A111" s="19" t="s">
        <v>165</v>
      </c>
      <c r="B111" s="20" t="s">
        <v>176</v>
      </c>
      <c r="C111" s="21" t="s">
        <v>9</v>
      </c>
      <c r="D111" s="22" t="str">
        <f>IF(C111="nie","W opisie dostępności budynku podaj informację o tym, po której stronie drzwi (lewej czy prawej) jest klamka.","")</f>
        <v>W opisie dostępności budynku podaj informację o tym, po której stronie drzwi (lewej czy prawej) jest klamka.</v>
      </c>
      <c r="E111" s="22" t="str">
        <f>IF(C111="nie","Wymień klamkę na bardziej skontrastowaną w stosunku do barwy drzwi (ciemną w jasnych drzwiach, jasną w ciemnych drzwiach).","")</f>
        <v>Wymień klamkę na bardziej skontrastowaną w stosunku do barwy drzwi (ciemną w jasnych drzwiach, jasną w ciemnych drzwiach).</v>
      </c>
    </row>
    <row r="112" spans="1:29" ht="112.15" customHeight="1" x14ac:dyDescent="0.25">
      <c r="A112" s="19" t="s">
        <v>166</v>
      </c>
      <c r="B112" s="20" t="s">
        <v>177</v>
      </c>
      <c r="C112" s="21" t="s">
        <v>9</v>
      </c>
      <c r="D112" s="22" t="str">
        <f>IF(C112="tak",AC112,IF(C112="nie","W opisie dostępności budynku podaj informację o rodzaju drzwi prowadzących do budynku. ",""))</f>
        <v xml:space="preserve">W opisie dostępności budynku podaj informację o rodzaju drzwi prowadzących do budynku. </v>
      </c>
      <c r="E112" s="22" t="str">
        <f>IF(C112="nie","Sprawdź, czy możliwa jest wymiana drzwi obrotowych  / wahadłowych na rozwierane lub rozsuwane albo wybicie drugiego otworu i montaż takich drzwi. Jeśli tak, zaplanuj takie prace.","")</f>
        <v>Sprawdź, czy możliwa jest wymiana drzwi obrotowych  / wahadłowych na rozwierane lub rozsuwane albo wybicie drugiego otworu i montaż takich drzwi. Jeśli tak, zaplanuj takie prace.</v>
      </c>
      <c r="AC112" s="10" t="s">
        <v>178</v>
      </c>
    </row>
    <row r="113" spans="1:29" ht="99" customHeight="1" x14ac:dyDescent="0.25">
      <c r="A113" s="19" t="s">
        <v>167</v>
      </c>
      <c r="B113" s="20" t="s">
        <v>179</v>
      </c>
      <c r="C113" s="21" t="s">
        <v>9</v>
      </c>
      <c r="D113" s="22" t="str">
        <f>IF(C113="nie",AC113,"")</f>
        <v>Jeśli strefę wejściową zawężają meble lub elementy wyposażenia, usuń je. Jeśli strefa wejściowa jest mniejsza z uwagi na układ elementów stałych (np. ścian), w opisie dostępności budynku podaj informację o tym, jak wygląda strefa wejściowa i ile jest w niej miejsca na manewrowanie wózkiem.</v>
      </c>
      <c r="E113" s="22" t="str">
        <f>IF(C113="nie","Sprawdź, czy możliwa jest przebudowa wejścia w taki sposób, żeby przed drzwiami była odpowiednia przestrzeń do manewrowania wózkiem (co najmniej 1,5 x 1,5 m). Jeśli tak, zaplanuj takie prace. ","")</f>
        <v xml:space="preserve">Sprawdź, czy możliwa jest przebudowa wejścia w taki sposób, żeby przed drzwiami była odpowiednia przestrzeń do manewrowania wózkiem (co najmniej 1,5 x 1,5 m). Jeśli tak, zaplanuj takie prace. </v>
      </c>
      <c r="AC113" s="10" t="s">
        <v>180</v>
      </c>
    </row>
    <row r="114" spans="1:29" ht="110.25" x14ac:dyDescent="0.25">
      <c r="A114" s="19" t="s">
        <v>168</v>
      </c>
      <c r="B114" s="20" t="s">
        <v>181</v>
      </c>
      <c r="C114" s="21" t="s">
        <v>9</v>
      </c>
      <c r="D114" s="22" t="str">
        <f>IF(C114="nie",AC113,"")</f>
        <v>Jeśli strefę wejściową zawężają meble lub elementy wyposażenia, usuń je. Jeśli strefa wejściowa jest mniejsza z uwagi na układ elementów stałych (np. ścian), w opisie dostępności budynku podaj informację o tym, jak wygląda strefa wejściowa i ile jest w niej miejsca na manewrowanie wózkiem.</v>
      </c>
      <c r="E114" s="22" t="str">
        <f>IF(C114="nie","Sprawdź, czy możliwa jest przebudowa wejścia w taki sposób, żeby za drzwiami była odpowiednia przestrzeń do manewrowania wózkiem (co najmniej 1,5 x 1,5 m). Jeśli tak, zaplanuj takie prace. ","")</f>
        <v xml:space="preserve">Sprawdź, czy możliwa jest przebudowa wejścia w taki sposób, żeby za drzwiami była odpowiednia przestrzeń do manewrowania wózkiem (co najmniej 1,5 x 1,5 m). Jeśli tak, zaplanuj takie prace. </v>
      </c>
    </row>
    <row r="115" spans="1:29" ht="63" x14ac:dyDescent="0.25">
      <c r="A115" s="19" t="s">
        <v>169</v>
      </c>
      <c r="B115" s="20" t="s">
        <v>182</v>
      </c>
      <c r="C115" s="21" t="s">
        <v>9</v>
      </c>
      <c r="D115" s="22" t="str">
        <f>IF(C115="nie","Na przeszkleniach przyklej pasy o szerokości co najmniej 10 cm, pierwszy na wysokości w przedziale 0,9-1 m, drugi na wysokości w przedziale 1,3-1,4 m.","")</f>
        <v>Na przeszkleniach przyklej pasy o szerokości co najmniej 10 cm, pierwszy na wysokości w przedziale 0,9-1 m, drugi na wysokości w przedziale 1,3-1,4 m.</v>
      </c>
      <c r="E115" s="22"/>
    </row>
    <row r="116" spans="1:29" x14ac:dyDescent="0.25">
      <c r="AC116" s="13"/>
    </row>
    <row r="117" spans="1:29" ht="21" x14ac:dyDescent="0.25">
      <c r="A117" s="30" t="s">
        <v>183</v>
      </c>
      <c r="B117" s="30"/>
      <c r="C117" s="30"/>
      <c r="D117" s="30"/>
      <c r="E117" s="30"/>
      <c r="AC117" s="12"/>
    </row>
    <row r="118" spans="1:29" x14ac:dyDescent="0.25">
      <c r="B118" s="5"/>
      <c r="D118" s="8"/>
    </row>
    <row r="119" spans="1:29" ht="19.899999999999999" customHeight="1" x14ac:dyDescent="0.25">
      <c r="A119" s="16"/>
      <c r="B119" s="17" t="s">
        <v>5</v>
      </c>
      <c r="C119" s="18" t="s">
        <v>6</v>
      </c>
      <c r="D119" s="17" t="s">
        <v>26</v>
      </c>
      <c r="E119" s="17" t="s">
        <v>27</v>
      </c>
      <c r="AC119" s="14"/>
    </row>
    <row r="120" spans="1:29" ht="31.5" x14ac:dyDescent="0.25">
      <c r="A120" s="19" t="s">
        <v>184</v>
      </c>
      <c r="B120" s="20" t="s">
        <v>185</v>
      </c>
      <c r="C120" s="21" t="s">
        <v>8</v>
      </c>
      <c r="D120" s="22" t="str">
        <f>IF(C120="nie","Przejdź do pytania 80.",IF(C120="tak","Przejdź do pytania 117.",""))</f>
        <v>Przejdź do pytania 117.</v>
      </c>
      <c r="E120" s="22"/>
    </row>
    <row r="121" spans="1:29" x14ac:dyDescent="0.25">
      <c r="AC121" s="13"/>
    </row>
    <row r="122" spans="1:29" ht="21" x14ac:dyDescent="0.25">
      <c r="A122" s="32" t="s">
        <v>186</v>
      </c>
      <c r="B122" s="32"/>
      <c r="C122" s="32"/>
      <c r="D122" s="32"/>
      <c r="E122" s="32"/>
      <c r="AC122" s="12"/>
    </row>
    <row r="123" spans="1:29" x14ac:dyDescent="0.25">
      <c r="A123" s="19"/>
      <c r="B123" s="23"/>
      <c r="C123" s="21" t="s">
        <v>339</v>
      </c>
      <c r="D123" s="24"/>
      <c r="E123" s="22"/>
    </row>
    <row r="124" spans="1:29" ht="19.899999999999999" customHeight="1" x14ac:dyDescent="0.25">
      <c r="A124" s="16"/>
      <c r="B124" s="17" t="s">
        <v>5</v>
      </c>
      <c r="C124" s="18" t="s">
        <v>6</v>
      </c>
      <c r="D124" s="17" t="s">
        <v>26</v>
      </c>
      <c r="E124" s="17" t="s">
        <v>27</v>
      </c>
      <c r="AC124" s="14"/>
    </row>
    <row r="125" spans="1:29" ht="49.15" customHeight="1" x14ac:dyDescent="0.25">
      <c r="A125" s="19" t="s">
        <v>195</v>
      </c>
      <c r="B125" s="20" t="s">
        <v>206</v>
      </c>
      <c r="C125" s="21" t="s">
        <v>9</v>
      </c>
      <c r="D125" s="22" t="str">
        <f>IF(C125="nie","W opisie dostępności budynku podaj informację o ilości stopni w jednym biegu schodów.","")</f>
        <v>W opisie dostępności budynku podaj informację o ilości stopni w jednym biegu schodów.</v>
      </c>
      <c r="E125" s="22" t="str">
        <f>IF(C125="nie","Sprawdź, czy możliwa jest ich przebudowa w taki sposób, by w jednym biegu znajdowało się do 17 stopni. Jeśli tak – zaplanuj takie prace.","")</f>
        <v>Sprawdź, czy możliwa jest ich przebudowa w taki sposób, by w jednym biegu znajdowało się do 17 stopni. Jeśli tak – zaplanuj takie prace.</v>
      </c>
    </row>
    <row r="126" spans="1:29" ht="34.9" customHeight="1" x14ac:dyDescent="0.25">
      <c r="A126" s="19" t="s">
        <v>196</v>
      </c>
      <c r="B126" s="20" t="s">
        <v>67</v>
      </c>
      <c r="C126" s="21" t="s">
        <v>9</v>
      </c>
      <c r="D126" s="22" t="str">
        <f>IF(C126="nie","W opisie dostępności budynku podaj informację o szerokości biegu schodów.","")</f>
        <v>W opisie dostępności budynku podaj informację o szerokości biegu schodów.</v>
      </c>
      <c r="E126" s="22" t="str">
        <f>IF(C126="nie","Sprawdź, czy możliwe jest poszerzenie schodów. Jeśli tak – zaplanuj takie prace.","")</f>
        <v>Sprawdź, czy możliwe jest poszerzenie schodów. Jeśli tak – zaplanuj takie prace.</v>
      </c>
    </row>
    <row r="127" spans="1:29" ht="63" customHeight="1" x14ac:dyDescent="0.25">
      <c r="A127" s="19" t="s">
        <v>197</v>
      </c>
      <c r="B127" s="20" t="s">
        <v>68</v>
      </c>
      <c r="C127" s="21" t="s">
        <v>9</v>
      </c>
      <c r="D127" s="22" t="str">
        <f>IF(C127="nie","W opisie dostępności budynku podaj informację o tym, że schody mają różną wysokość lub szerokość (jest to niebezpieczna sytuacja, ponieważ Twoi klienci mogą się potknąć i upaść).","")</f>
        <v>W opisie dostępności budynku podaj informację o tym, że schody mają różną wysokość lub szerokość (jest to niebezpieczna sytuacja, ponieważ Twoi klienci mogą się potknąć i upaść).</v>
      </c>
      <c r="E127" s="22" t="str">
        <f>IF(C127="nie","Sprawdź, czy możliwa jest ich przebudowa w taki sposób, by wyrównać stopnie. Jeśli tak – zaplanuj takie prace.","")</f>
        <v>Sprawdź, czy możliwa jest ich przebudowa w taki sposób, by wyrównać stopnie. Jeśli tak – zaplanuj takie prace.</v>
      </c>
    </row>
    <row r="128" spans="1:29" ht="47.45" customHeight="1" x14ac:dyDescent="0.25">
      <c r="A128" s="19" t="s">
        <v>198</v>
      </c>
      <c r="B128" s="20" t="s">
        <v>207</v>
      </c>
      <c r="C128" s="21" t="s">
        <v>9</v>
      </c>
      <c r="D128" s="22" t="str">
        <f>IF(C128="nie","W opisie dostępności budynku podaj informację o tym, że stopnie są dość wysokie.","")</f>
        <v>W opisie dostępności budynku podaj informację o tym, że stopnie są dość wysokie.</v>
      </c>
      <c r="E128" s="22" t="str">
        <f>IF(C128="nie","Sprawdź, czy możliwa jest przebudowa schodów w taki sposób, by zmniejszyć ich wysokość. Jeśli tak – zaplanuj takie prace i budżet na nie.","")</f>
        <v>Sprawdź, czy możliwa jest przebudowa schodów w taki sposób, by zmniejszyć ich wysokość. Jeśli tak – zaplanuj takie prace i budżet na nie.</v>
      </c>
    </row>
    <row r="129" spans="1:30" ht="63" x14ac:dyDescent="0.25">
      <c r="A129" s="19" t="s">
        <v>199</v>
      </c>
      <c r="B129" s="20" t="s">
        <v>70</v>
      </c>
      <c r="C129" s="21" t="s">
        <v>9</v>
      </c>
      <c r="D129" s="22" t="str">
        <f>IF(C129="nie","Zaplanuj oznaczenie stopni kontrastowymi pasami na krawędziach poziomych i pionowych. Pasy powinny być łatwo widoczne i antypoślizgowe.","")</f>
        <v>Zaplanuj oznaczenie stopni kontrastowymi pasami na krawędziach poziomych i pionowych. Pasy powinny być łatwo widoczne i antypoślizgowe.</v>
      </c>
      <c r="E129" s="22"/>
    </row>
    <row r="130" spans="1:30" ht="65.45" customHeight="1" x14ac:dyDescent="0.25">
      <c r="A130" s="19" t="s">
        <v>200</v>
      </c>
      <c r="B130" s="20" t="s">
        <v>71</v>
      </c>
      <c r="C130" s="21" t="s">
        <v>9</v>
      </c>
      <c r="D130" s="22" t="str">
        <f>IF(C130="nie","W opisie dostępności budynku podaj informację o tym, że stopnie mają noski (jest to niebezpieczna sytuacja, ponieważ Twoi klienci mogą się potknąć i upaść).","")</f>
        <v>W opisie dostępności budynku podaj informację o tym, że stopnie mają noski (jest to niebezpieczna sytuacja, ponieważ Twoi klienci mogą się potknąć i upaść).</v>
      </c>
      <c r="E130" s="22" t="str">
        <f>IF(C130="nie","Sprawdź, czy możliwa jest ich przebudowa w taki sposób, by usunąć noski stopni. Jeśli tak – zaplanuj takie prace.","")</f>
        <v>Sprawdź, czy możliwa jest ich przebudowa w taki sposób, by usunąć noski stopni. Jeśli tak – zaplanuj takie prace.</v>
      </c>
    </row>
    <row r="131" spans="1:30" ht="49.15" customHeight="1" x14ac:dyDescent="0.25">
      <c r="A131" s="19" t="s">
        <v>201</v>
      </c>
      <c r="B131" s="20" t="s">
        <v>208</v>
      </c>
      <c r="C131" s="21" t="s">
        <v>9</v>
      </c>
      <c r="D131" s="22" t="str">
        <f>IF(C131="nie","W opisie dostępności budynku podaj informację o tym, że stopnie są ażurowe.","")</f>
        <v>W opisie dostępności budynku podaj informację o tym, że stopnie są ażurowe.</v>
      </c>
      <c r="E131" s="22" t="str">
        <f>IF(C131="nie","Sprawdź, czy możliwa jest ich przebudowa i wymiana na stopnie pełne. Jeśli tak – zaplanuj takie prace.","")</f>
        <v>Sprawdź, czy możliwa jest ich przebudowa i wymiana na stopnie pełne. Jeśli tak – zaplanuj takie prace.</v>
      </c>
      <c r="AC131" s="15" t="s">
        <v>212</v>
      </c>
      <c r="AD131" s="2" t="s">
        <v>218</v>
      </c>
    </row>
    <row r="132" spans="1:30" ht="49.9" customHeight="1" x14ac:dyDescent="0.25">
      <c r="A132" s="19" t="s">
        <v>202</v>
      </c>
      <c r="B132" s="20" t="s">
        <v>209</v>
      </c>
      <c r="C132" s="21" t="s">
        <v>9</v>
      </c>
      <c r="D132" s="22" t="str">
        <f>IF(C132="nie","W opisie dostępności budynku podaj informację o tym, czy przy schodach znajdują się poręcze a jeśli tak, po której stronie.","")</f>
        <v>W opisie dostępności budynku podaj informację o tym, czy przy schodach znajdują się poręcze a jeśli tak, po której stronie.</v>
      </c>
      <c r="E132" s="22" t="str">
        <f>IF(C132="nie","Sprawdź, czy możliwy jest montaż poręczy po obydwu stronach biegu. Jeśli tak, zaplanuj takie prace.","")</f>
        <v>Sprawdź, czy możliwy jest montaż poręczy po obydwu stronach biegu. Jeśli tak, zaplanuj takie prace.</v>
      </c>
      <c r="AC132" s="15" t="s">
        <v>213</v>
      </c>
      <c r="AD132" s="2" t="s">
        <v>239</v>
      </c>
    </row>
    <row r="133" spans="1:30" ht="31.5" x14ac:dyDescent="0.25">
      <c r="A133" s="19" t="s">
        <v>203</v>
      </c>
      <c r="B133" s="20" t="s">
        <v>210</v>
      </c>
      <c r="C133" s="21" t="s">
        <v>9</v>
      </c>
      <c r="D133" s="22"/>
      <c r="E133" s="22" t="str">
        <f>IF(C133="nie","Zaplanuj wymianę poręczy na odpowiednio przedłużone.","")</f>
        <v>Zaplanuj wymianę poręczy na odpowiednio przedłużone.</v>
      </c>
      <c r="AC133" s="15" t="s">
        <v>214</v>
      </c>
      <c r="AD133" s="2" t="s">
        <v>215</v>
      </c>
    </row>
    <row r="134" spans="1:30" ht="31.5" x14ac:dyDescent="0.25">
      <c r="A134" s="19" t="s">
        <v>204</v>
      </c>
      <c r="B134" s="20" t="s">
        <v>76</v>
      </c>
      <c r="C134" s="21" t="s">
        <v>9</v>
      </c>
      <c r="D134" s="22"/>
      <c r="E134" s="22" t="str">
        <f>IF(C134="nie","Zaplanuj wymianę poręczy na odpowiednio zakończone.","")</f>
        <v>Zaplanuj wymianę poręczy na odpowiednio zakończone.</v>
      </c>
      <c r="AC134" s="15" t="s">
        <v>216</v>
      </c>
      <c r="AD134" s="2" t="s">
        <v>217</v>
      </c>
    </row>
    <row r="135" spans="1:30" ht="80.45" customHeight="1" x14ac:dyDescent="0.25">
      <c r="A135" s="19" t="s">
        <v>205</v>
      </c>
      <c r="B135" s="20" t="s">
        <v>211</v>
      </c>
      <c r="C135" s="23" t="s">
        <v>213</v>
      </c>
      <c r="D135" s="22" t="str">
        <f>IF(C135=AC131,AD131,IF(C135=AC132,AD132,IF(C135=AC133,AD133,IF(C135=AC134,AD134,""))))</f>
        <v>Przejdź do pytania 109.</v>
      </c>
      <c r="E135" s="22" t="str">
        <f>IF(OR(C135=AC133,C135=AC134),"Sprawdź, czy istnieje możliwość budowy windy lub ewentualnie montaż podnośnika, pozwalającego na wygodne pokonywanie różnicy poziomów w budynku. Jeśli tak – zaplanuj prace tego rodzaju i budżet na nie.","")</f>
        <v/>
      </c>
    </row>
    <row r="137" spans="1:30" ht="21" x14ac:dyDescent="0.25">
      <c r="A137" s="30" t="s">
        <v>220</v>
      </c>
      <c r="B137" s="30"/>
      <c r="C137" s="30"/>
      <c r="D137" s="30"/>
      <c r="E137" s="30"/>
    </row>
    <row r="138" spans="1:30" x14ac:dyDescent="0.25">
      <c r="B138" s="5"/>
      <c r="D138" s="8"/>
    </row>
    <row r="139" spans="1:30" x14ac:dyDescent="0.25">
      <c r="A139" s="16"/>
      <c r="B139" s="17" t="s">
        <v>5</v>
      </c>
      <c r="C139" s="18" t="s">
        <v>6</v>
      </c>
      <c r="D139" s="17" t="s">
        <v>26</v>
      </c>
      <c r="E139" s="17" t="s">
        <v>27</v>
      </c>
      <c r="AC139" s="14" t="s">
        <v>108</v>
      </c>
    </row>
    <row r="140" spans="1:30" ht="47.25" x14ac:dyDescent="0.25">
      <c r="A140" s="19" t="s">
        <v>221</v>
      </c>
      <c r="B140" s="20" t="s">
        <v>140</v>
      </c>
      <c r="C140" s="21" t="s">
        <v>9</v>
      </c>
      <c r="D140" s="22" t="str">
        <f>IF(C140="nie","W opisie dostępności budynku podaj informację o tym, na jakiej wysokości znajduje się panel sterujący.","")</f>
        <v>W opisie dostępności budynku podaj informację o tym, na jakiej wysokości znajduje się panel sterujący.</v>
      </c>
      <c r="E140" s="22" t="str">
        <f>IF(C140="nie","Sprawdź, czy możliwa jest zmiana wysokości montażu panelu. Jeśli tak, zaplanuj takie prace.","")</f>
        <v>Sprawdź, czy możliwa jest zmiana wysokości montażu panelu. Jeśli tak, zaplanuj takie prace.</v>
      </c>
    </row>
    <row r="141" spans="1:30" ht="47.25" x14ac:dyDescent="0.25">
      <c r="A141" s="19" t="s">
        <v>222</v>
      </c>
      <c r="B141" s="20" t="s">
        <v>141</v>
      </c>
      <c r="C141" s="21" t="s">
        <v>9</v>
      </c>
      <c r="D141" s="22" t="str">
        <f>IF(C141="nie","W opisie dostępności budynku podaj informację o tym, jak można obsłużyć panel. ","")</f>
        <v xml:space="preserve">W opisie dostępności budynku podaj informację o tym, jak można obsłużyć panel. </v>
      </c>
      <c r="E141" s="22" t="str">
        <f>IF(C141="nie","Sprawdź, czy możliwa jest wymiana panelu na nowy, z wystającymi przyciskami. Jeśli tak, zaplanuj takie prace.","")</f>
        <v>Sprawdź, czy możliwa jest wymiana panelu na nowy, z wystającymi przyciskami. Jeśli tak, zaplanuj takie prace.</v>
      </c>
    </row>
    <row r="142" spans="1:30" ht="47.25" x14ac:dyDescent="0.25">
      <c r="A142" s="19" t="s">
        <v>223</v>
      </c>
      <c r="B142" s="20" t="s">
        <v>142</v>
      </c>
      <c r="C142" s="21" t="s">
        <v>9</v>
      </c>
      <c r="D142" s="22"/>
      <c r="E142" s="22" t="str">
        <f>IF(C142="nie","Sprawdź, czy możliwa jest wymiana panelu na nowy, z wypukłymi oznaczeniami lub opisem brajlowskim. Jeśli tak, zaplanuj takie prace.","")</f>
        <v>Sprawdź, czy możliwa jest wymiana panelu na nowy, z wypukłymi oznaczeniami lub opisem brajlowskim. Jeśli tak, zaplanuj takie prace.</v>
      </c>
    </row>
    <row r="143" spans="1:30" ht="47.25" x14ac:dyDescent="0.25">
      <c r="A143" s="19" t="s">
        <v>224</v>
      </c>
      <c r="B143" s="20" t="s">
        <v>143</v>
      </c>
      <c r="C143" s="21" t="s">
        <v>9</v>
      </c>
      <c r="D143" s="22" t="str">
        <f>IF(C143="nie","Oznacz drzwi windy kontrastowymi pasami wokół framugi – pasy powinny być łatwe do zauważenia i mieć szerokość 7-10 cm.","")</f>
        <v>Oznacz drzwi windy kontrastowymi pasami wokół framugi – pasy powinny być łatwe do zauważenia i mieć szerokość 7-10 cm.</v>
      </c>
      <c r="E143" s="22"/>
    </row>
    <row r="144" spans="1:30" ht="37.5" customHeight="1" x14ac:dyDescent="0.25">
      <c r="A144" s="19" t="s">
        <v>225</v>
      </c>
      <c r="B144" s="20" t="s">
        <v>144</v>
      </c>
      <c r="C144" s="21" t="s">
        <v>9</v>
      </c>
      <c r="D144" s="22" t="str">
        <f>IF(C144="nie","W opisie dostępności budynku podaj informację o szerokości drzwi do kabiny. ","")</f>
        <v xml:space="preserve">W opisie dostępności budynku podaj informację o szerokości drzwi do kabiny. </v>
      </c>
      <c r="E144" s="22" t="str">
        <f>IF(C144="nie","Sprawdź, czy możliwe jest poszerzenie drzwi do windy. Jeśli tak, zaplanuj takie prace.","")</f>
        <v>Sprawdź, czy możliwe jest poszerzenie drzwi do windy. Jeśli tak, zaplanuj takie prace.</v>
      </c>
    </row>
    <row r="145" spans="1:29" ht="63" x14ac:dyDescent="0.25">
      <c r="A145" s="19" t="s">
        <v>226</v>
      </c>
      <c r="B145" s="20" t="s">
        <v>145</v>
      </c>
      <c r="C145" s="21" t="s">
        <v>9</v>
      </c>
      <c r="D145" s="22" t="str">
        <f>IF(C145="nie","W opisie dostępności budynku podaj informację o tym, w jaki sposób otwierają się drzwi (np. gdzie jest klamka i czy potrzeba wiele siły do ich otwarcia). ","")</f>
        <v xml:space="preserve">W opisie dostępności budynku podaj informację o tym, w jaki sposób otwierają się drzwi (np. gdzie jest klamka i czy potrzeba wiele siły do ich otwarcia). </v>
      </c>
      <c r="E145" s="22" t="str">
        <f>IF(C145="nie","Sprawdź, czy możliwa jest wymiana drzwi do windy na takie, które otwierają się automatycznie. Jeśli tak, zaplanuj takie prace.","")</f>
        <v>Sprawdź, czy możliwa jest wymiana drzwi do windy na takie, które otwierają się automatycznie. Jeśli tak, zaplanuj takie prace.</v>
      </c>
    </row>
    <row r="146" spans="1:29" ht="50.25" customHeight="1" x14ac:dyDescent="0.25">
      <c r="A146" s="19" t="s">
        <v>227</v>
      </c>
      <c r="B146" s="20" t="s">
        <v>146</v>
      </c>
      <c r="C146" s="21" t="s">
        <v>9</v>
      </c>
      <c r="D146" s="22" t="str">
        <f>IF(C146="nie","W opisie dostępności budynku podaj informację, że drzwi nie zatrzymują się automatycznie (czyli mogą kogoś przytrzasnąć). ","")</f>
        <v xml:space="preserve">W opisie dostępności budynku podaj informację, że drzwi nie zatrzymują się automatycznie (czyli mogą kogoś przytrzasnąć). </v>
      </c>
      <c r="E146" s="22" t="str">
        <f>IF(C146="nie","Sprawdź, czy możliwa jest wymiana drzwi do windy na takie, które otwierają się automatycznie i mają czujniki, zatrzymujące ich zamykanie. Jeśli tak, zaplanuj takie prace.","")</f>
        <v>Sprawdź, czy możliwa jest wymiana drzwi do windy na takie, które otwierają się automatycznie i mają czujniki, zatrzymujące ich zamykanie. Jeśli tak, zaplanuj takie prace.</v>
      </c>
    </row>
    <row r="147" spans="1:29" ht="69" customHeight="1" x14ac:dyDescent="0.25">
      <c r="A147" s="19" t="s">
        <v>228</v>
      </c>
      <c r="B147" s="20" t="s">
        <v>147</v>
      </c>
      <c r="C147" s="21" t="s">
        <v>9</v>
      </c>
      <c r="D147" s="22" t="str">
        <f>IF(OR(C147="tak",C147="nie"),"W opisie dostępności budynku podaj informację o wymiarach kabiny. ","")</f>
        <v xml:space="preserve">W opisie dostępności budynku podaj informację o wymiarach kabiny. </v>
      </c>
      <c r="E147" s="22" t="str">
        <f>IF(C147="nie","Sprawdź, czy możliwa jest wymiana windy na większą. Jeśli tak, zaplanuj takie prace i poszukaj finansowania (to prawdopodobnie nie będzie tanie przedsięwzięcie).","")</f>
        <v>Sprawdź, czy możliwa jest wymiana windy na większą. Jeśli tak, zaplanuj takie prace i poszukaj finansowania (to prawdopodobnie nie będzie tanie przedsięwzięcie).</v>
      </c>
    </row>
    <row r="148" spans="1:29" ht="47.25" x14ac:dyDescent="0.25">
      <c r="A148" s="19" t="s">
        <v>229</v>
      </c>
      <c r="B148" s="20" t="s">
        <v>148</v>
      </c>
      <c r="C148" s="21" t="s">
        <v>9</v>
      </c>
      <c r="D148" s="22" t="str">
        <f>IF(C148="tak","W opisie dostępności budynku dodaj fotografię wnętrza kabiny i lustra w niej.",IF(C148="nie dotyczy","W opisie dostępności budynku dodaj fotografię wnętrza kabiny.",IF(C148="nie","W opisie dostępności budynku podaj informację o wysokości, na której znajduje się lustro – dodaj fotografię wnętrza kabiny i lustra w niej.","")))</f>
        <v>W opisie dostępności budynku podaj informację o wysokości, na której znajduje się lustro – dodaj fotografię wnętrza kabiny i lustra w niej.</v>
      </c>
      <c r="E148" s="22" t="str">
        <f>IF(C148="nie","Zaplanuj wymianę lustra na większe, od wysokości ok. 40 cm na podłogą.","")</f>
        <v>Zaplanuj wymianę lustra na większe, od wysokości ok. 40 cm na podłogą.</v>
      </c>
    </row>
    <row r="149" spans="1:29" ht="31.5" x14ac:dyDescent="0.25">
      <c r="A149" s="19" t="s">
        <v>230</v>
      </c>
      <c r="B149" s="20" t="s">
        <v>149</v>
      </c>
      <c r="C149" s="21" t="s">
        <v>9</v>
      </c>
      <c r="D149" s="22" t="str">
        <f>IF(C149="nie","Zaplanuj montaż przynajmniej jednej poręczy w kabinie windy.","")</f>
        <v>Zaplanuj montaż przynajmniej jednej poręczy w kabinie windy.</v>
      </c>
      <c r="E149" s="22"/>
    </row>
    <row r="150" spans="1:29" ht="47.25" x14ac:dyDescent="0.25">
      <c r="A150" s="19" t="s">
        <v>231</v>
      </c>
      <c r="B150" s="20" t="s">
        <v>150</v>
      </c>
      <c r="C150" s="21" t="s">
        <v>9</v>
      </c>
      <c r="D150" s="22" t="str">
        <f>IF(C150="nie","W opisie dostępności budynku podaj informację o tym, na jakiej wysokości znajduje się panel sterujący.","")</f>
        <v>W opisie dostępności budynku podaj informację o tym, na jakiej wysokości znajduje się panel sterujący.</v>
      </c>
      <c r="E150" s="22" t="str">
        <f>IF(C150="nie","Sprawdź, czy możliwa jest zmiana wysokości montażu panelu. Jeśli tak, zaplanuj takie prace.","")</f>
        <v>Sprawdź, czy możliwa jest zmiana wysokości montażu panelu. Jeśli tak, zaplanuj takie prace.</v>
      </c>
    </row>
    <row r="151" spans="1:29" ht="47.25" x14ac:dyDescent="0.25">
      <c r="A151" s="19" t="s">
        <v>232</v>
      </c>
      <c r="B151" s="20" t="s">
        <v>151</v>
      </c>
      <c r="C151" s="21" t="s">
        <v>9</v>
      </c>
      <c r="D151" s="22"/>
      <c r="E151" s="22" t="str">
        <f>IF(C151="nie","Sprawdź, czy możliwa jest wymiana panelu na nowy, z wypukłymi oznaczeniami lub opisem brajlowskim. Jeśli tak, zaplanuj takie prace.","")</f>
        <v>Sprawdź, czy możliwa jest wymiana panelu na nowy, z wypukłymi oznaczeniami lub opisem brajlowskim. Jeśli tak, zaplanuj takie prace.</v>
      </c>
    </row>
    <row r="152" spans="1:29" ht="63" customHeight="1" x14ac:dyDescent="0.25">
      <c r="A152" s="19" t="s">
        <v>233</v>
      </c>
      <c r="B152" s="20" t="s">
        <v>152</v>
      </c>
      <c r="C152" s="21" t="s">
        <v>9</v>
      </c>
      <c r="D152" s="22" t="str">
        <f>IF(C152="nie","W opisie dostępności budynku oraz wewnątrz windy podaj informację o tym, w jaki sposób przywołać pomoc w przypadku awarii windy (np. numer telefonu).","")</f>
        <v>W opisie dostępności budynku oraz wewnątrz windy podaj informację o tym, w jaki sposób przywołać pomoc w przypadku awarii windy (np. numer telefonu).</v>
      </c>
      <c r="E152" s="22" t="str">
        <f>IF(C152="nie","Sprawdź, czy możliwy jest montaż w windzie instalacji alarmowej. Jeśli tak, zaplanuj takie prace.","")</f>
        <v>Sprawdź, czy możliwy jest montaż w windzie instalacji alarmowej. Jeśli tak, zaplanuj takie prace.</v>
      </c>
    </row>
    <row r="153" spans="1:29" ht="48.75" customHeight="1" x14ac:dyDescent="0.25">
      <c r="A153" s="19" t="s">
        <v>234</v>
      </c>
      <c r="B153" s="20" t="s">
        <v>153</v>
      </c>
      <c r="C153" s="21" t="s">
        <v>9</v>
      </c>
      <c r="D153" s="22" t="str">
        <f>IF(C153="tak","W opisie dostępności budynku podaj informację o tym, w jaki sposób podawany jest numer piętra (np. na wyświetlaczu, głosowo).",IF(C153="nie","W opisie dostępności budynku podaj informację o tym, w jaki sposób podawany jest numer piętra (np. głosowo, w ogóle nie jest podawany).",""))</f>
        <v>W opisie dostępności budynku podaj informację o tym, w jaki sposób podawany jest numer piętra (np. głosowo, w ogóle nie jest podawany).</v>
      </c>
      <c r="E153" s="22" t="str">
        <f>IF(C153="nie","Sprawdź, czy możliwe jest dodanie wyświetlacza w windzie. Jeśli tak, zaplanuj takie prace.","")</f>
        <v>Sprawdź, czy możliwe jest dodanie wyświetlacza w windzie. Jeśli tak, zaplanuj takie prace.</v>
      </c>
    </row>
    <row r="154" spans="1:29" ht="51" customHeight="1" x14ac:dyDescent="0.25">
      <c r="A154" s="19" t="s">
        <v>235</v>
      </c>
      <c r="B154" s="20" t="s">
        <v>154</v>
      </c>
      <c r="C154" s="21" t="s">
        <v>9</v>
      </c>
      <c r="D154" s="22" t="str">
        <f>IF(C154="tak","W opisie dostępności budynku podaj informację o tym, w jaki sposób podawany jest numer piętra (np. na wyświetlaczu, głosowo).",IF(C154="nie","W opisie dostępności budynku podaj informację o tym, w jaki sposób podawany jest numer piętra (np. na wyświetlaczu, w ogóle nie jest podawany).",""))</f>
        <v>W opisie dostępności budynku podaj informację o tym, w jaki sposób podawany jest numer piętra (np. na wyświetlaczu, w ogóle nie jest podawany).</v>
      </c>
      <c r="E154" s="22" t="str">
        <f>IF(C154="nie","Sprawdź, czy możliwe jest dodanie informacji głosowych w windzie. Jeśli tak, zaplanuj takie prace.","")</f>
        <v>Sprawdź, czy możliwe jest dodanie informacji głosowych w windzie. Jeśli tak, zaplanuj takie prace.</v>
      </c>
    </row>
    <row r="155" spans="1:29" ht="54" customHeight="1" x14ac:dyDescent="0.25">
      <c r="A155" s="19" t="s">
        <v>236</v>
      </c>
      <c r="B155" s="20" t="s">
        <v>155</v>
      </c>
      <c r="C155" s="21" t="s">
        <v>9</v>
      </c>
      <c r="D155" s="22" t="str">
        <f>IF(C155="tak","W opisie dostępności budynku podaj informację o tym, w jaki sposób podawany jest kierunek jazdy windy (np. na wyświetlaczu, głosowo).",IF(C155="nie","W opisie dostępności budynku podaj informację o tym, w jaki sposób podawany jest kierunek jazdy windy (np. głosowo, w ogóle nie jest podawany).",""))</f>
        <v>W opisie dostępności budynku podaj informację o tym, w jaki sposób podawany jest kierunek jazdy windy (np. głosowo, w ogóle nie jest podawany).</v>
      </c>
      <c r="E155" s="22" t="str">
        <f>IF(C155="nie","Sprawdź, czy możliwe jest dodanie wyświetlacza w windzie. Jeśli tak, zaplanuj takie prace.","")</f>
        <v>Sprawdź, czy możliwe jest dodanie wyświetlacza w windzie. Jeśli tak, zaplanuj takie prace.</v>
      </c>
    </row>
    <row r="156" spans="1:29" ht="54.75" customHeight="1" x14ac:dyDescent="0.25">
      <c r="A156" s="19" t="s">
        <v>237</v>
      </c>
      <c r="B156" s="20" t="s">
        <v>156</v>
      </c>
      <c r="C156" s="21" t="s">
        <v>9</v>
      </c>
      <c r="D156" s="22" t="str">
        <f>IF(C156="tak","W opisie dostępności budynku podaj informację o tym, w jaki sposób podawany jest kierunek jazdy windy (np. na wyświetlaczu, głosowo).",IF(C156="nie","W opisie dostępności budynku podaj informację o tym, w jaki sposób podawany jest kierunek jazdy (np. na wyświetlaczu, w ogóle nie jest podawany).",""))</f>
        <v>W opisie dostępności budynku podaj informację o tym, w jaki sposób podawany jest kierunek jazdy (np. na wyświetlaczu, w ogóle nie jest podawany).</v>
      </c>
      <c r="E156" s="22" t="str">
        <f>IF(C156="nie","Sprawdź, czy możliwe jest dodanie informacji głosowych w windzie. Jeśli tak, zaplanuj takie prace.","")</f>
        <v>Sprawdź, czy możliwe jest dodanie informacji głosowych w windzie. Jeśli tak, zaplanuj takie prace.</v>
      </c>
    </row>
    <row r="157" spans="1:29" ht="82.5" customHeight="1" x14ac:dyDescent="0.25">
      <c r="A157" s="19" t="s">
        <v>238</v>
      </c>
      <c r="B157" s="20" t="s">
        <v>219</v>
      </c>
      <c r="C157" s="21" t="s">
        <v>9</v>
      </c>
      <c r="D157" s="22" t="str">
        <f>IF(C157="tak",AC157,IF(C157="nie","W opisie dostępności budynku podaj informację o tym, w jaki sposób podawana jest informacja o otwieraniu drzwi (np. np. głosowo – komunikat „drzwi się otwierają”, dźwiękowo – pojedynczy sygnał, w ogóle nie jest podawany). ",""))</f>
        <v xml:space="preserve">W opisie dostępności budynku podaj informację o tym, w jaki sposób podawana jest informacja o otwieraniu drzwi (np. np. głosowo – komunikat „drzwi się otwierają”, dźwiękowo – pojedynczy sygnał, w ogóle nie jest podawany). </v>
      </c>
      <c r="E157" s="22" t="str">
        <f>IF(C157="nie","Sprawdź, czy możliwe jest dodanie informacji głosowych / dźwiękowych w windzie. Jeśli tak, zaplanuj takie prace.","")</f>
        <v>Sprawdź, czy możliwe jest dodanie informacji głosowych / dźwiękowych w windzie. Jeśli tak, zaplanuj takie prace.</v>
      </c>
      <c r="AC157" s="4" t="s">
        <v>157</v>
      </c>
    </row>
    <row r="159" spans="1:29" ht="21" x14ac:dyDescent="0.25">
      <c r="A159" s="30" t="s">
        <v>240</v>
      </c>
      <c r="B159" s="30"/>
      <c r="C159" s="30"/>
      <c r="D159" s="30"/>
      <c r="E159" s="30"/>
      <c r="AC159" s="12"/>
    </row>
    <row r="160" spans="1:29" x14ac:dyDescent="0.25">
      <c r="B160" s="5"/>
      <c r="D160" s="8"/>
    </row>
    <row r="161" spans="1:29" x14ac:dyDescent="0.25">
      <c r="A161" s="16"/>
      <c r="B161" s="17" t="s">
        <v>5</v>
      </c>
      <c r="C161" s="18" t="s">
        <v>6</v>
      </c>
      <c r="D161" s="17" t="s">
        <v>26</v>
      </c>
      <c r="E161" s="17" t="s">
        <v>27</v>
      </c>
      <c r="AC161" s="14" t="s">
        <v>108</v>
      </c>
    </row>
    <row r="162" spans="1:29" ht="31.5" x14ac:dyDescent="0.25">
      <c r="A162" s="19" t="s">
        <v>241</v>
      </c>
      <c r="B162" s="20" t="s">
        <v>107</v>
      </c>
      <c r="C162" s="23" t="s">
        <v>108</v>
      </c>
      <c r="D162" s="22"/>
      <c r="E162" s="22"/>
      <c r="AC162" s="14" t="s">
        <v>109</v>
      </c>
    </row>
    <row r="163" spans="1:29" ht="34.15" customHeight="1" x14ac:dyDescent="0.25">
      <c r="A163" s="19" t="str">
        <f>IF(C162=AC161,"110.","")</f>
        <v>110.</v>
      </c>
      <c r="B163" s="20" t="str">
        <f>IF(C162=AC161,"Platforma podnośnika pionowego ma wymiary co najmniej 0,9 x 1,2 m.","")</f>
        <v>Platforma podnośnika pionowego ma wymiary co najmniej 0,9 x 1,2 m.</v>
      </c>
      <c r="C163" s="21" t="s">
        <v>9</v>
      </c>
      <c r="D163" s="22" t="str">
        <f>IF(AND(C162=AC161,C163="nie"),"W opisie dostępności budynku podaj informację o wymiarach platformy podnośnika.","")</f>
        <v>W opisie dostępności budynku podaj informację o wymiarach platformy podnośnika.</v>
      </c>
      <c r="E163" s="22" t="str">
        <f>IF(AND(C162=AC161,C163="nie"),"Sprawdź, czy możliwa jest jego wymiana na większy. Jeśli tak, zaplanuj takie prace. ","")</f>
        <v xml:space="preserve">Sprawdź, czy możliwa jest jego wymiana na większy. Jeśli tak, zaplanuj takie prace. </v>
      </c>
    </row>
    <row r="164" spans="1:29" x14ac:dyDescent="0.25">
      <c r="A164" s="19" t="str">
        <f>IF(C162=AC162,"111.","")</f>
        <v/>
      </c>
      <c r="B164" s="20" t="str">
        <f>IF(C162=AC162,"Platforma podnośnika ukośnego ma wymiary co najmniej 0,8 x 1 m.","")</f>
        <v/>
      </c>
      <c r="C164" s="21"/>
      <c r="D164" s="22" t="str">
        <f>IF(AND(C162=AC162,C164="nie"),"W opisie dostępności budynku podaj informację o wymiarach platformy podnośnika.","")</f>
        <v/>
      </c>
      <c r="E164" s="22" t="str">
        <f>IF(AND(C162=AC162,C164="nie"),"Sprawdź, czy możliwa jest jego wymiana na większy. Jeśli tak, zaplanuj takie prace. ","")</f>
        <v/>
      </c>
    </row>
    <row r="165" spans="1:29" ht="84.75" customHeight="1" x14ac:dyDescent="0.25">
      <c r="A165" s="19" t="s">
        <v>242</v>
      </c>
      <c r="B165" s="20" t="s">
        <v>116</v>
      </c>
      <c r="C165" s="21" t="s">
        <v>9</v>
      </c>
      <c r="D165" s="22" t="str">
        <f>IF(C165="nie","W opisie dostępności budynku podaj informację o tym, jak wygląda podnośnik i miejsca wejścia na niego / zejścia z niego.","")</f>
        <v>W opisie dostępności budynku podaj informację o tym, jak wygląda podnośnik i miejsca wejścia na niego / zejścia z niego.</v>
      </c>
      <c r="E165" s="22" t="str">
        <f>IF(C165="nie","Sprawdź, czy możliwa jest zmiana lokalizacji podnośnika w taki sposób, żeby przed platformą i za nią była odpowiednia przestrzeń do manewrowania wózkiem (co najmniej 1,5 x 1,5 m). Jeśli tak, zaplanuj takie prace. ","")</f>
        <v xml:space="preserve">Sprawdź, czy możliwa jest zmiana lokalizacji podnośnika w taki sposób, żeby przed platformą i za nią była odpowiednia przestrzeń do manewrowania wózkiem (co najmniej 1,5 x 1,5 m). Jeśli tak, zaplanuj takie prace. </v>
      </c>
    </row>
    <row r="166" spans="1:29" ht="68.25" customHeight="1" x14ac:dyDescent="0.25">
      <c r="A166" s="19" t="s">
        <v>243</v>
      </c>
      <c r="B166" s="20" t="s">
        <v>120</v>
      </c>
      <c r="C166" s="21" t="s">
        <v>9</v>
      </c>
      <c r="D166" s="22" t="str">
        <f>IF(C166="tak","Podaj informację o udźwigu podnośnika również w opisie dostępności budynku.",IF(C166="nie",AC166,""))</f>
        <v>Sprawdź, jaki jest udźwig tego konkretnego modelu podnośnika i podaj informację o nim – powinna się ona znaleźć i w opisie dostępności budynku, i przy samym podnośniku.</v>
      </c>
      <c r="E166" s="22"/>
      <c r="AC166" s="6" t="s">
        <v>117</v>
      </c>
    </row>
    <row r="167" spans="1:29" ht="48.75" customHeight="1" x14ac:dyDescent="0.25">
      <c r="A167" s="19" t="s">
        <v>244</v>
      </c>
      <c r="B167" s="20" t="s">
        <v>118</v>
      </c>
      <c r="C167" s="21" t="s">
        <v>9</v>
      </c>
      <c r="D167" s="22" t="str">
        <f>IF(C167="tak","Podaj informację o udźwigu podnośnika również w opisie dostępności budynku.",IF(C167="nie",AC167,""))</f>
        <v xml:space="preserve">Podaj informację o udźwigu podnośnika – powinna się ona znaleźć i w opisie dostępności budynku, i przy samym podnośniku. </v>
      </c>
      <c r="E167" s="22" t="str">
        <f>IF(C167="nie","Zaplanuj wymianę podnośnika na taki, który będzie miał udźwig co najmniej 300 kg.","")</f>
        <v>Zaplanuj wymianę podnośnika na taki, który będzie miał udźwig co najmniej 300 kg.</v>
      </c>
      <c r="AC167" s="6" t="s">
        <v>119</v>
      </c>
    </row>
    <row r="168" spans="1:29" ht="32.25" customHeight="1" x14ac:dyDescent="0.25">
      <c r="A168" s="19" t="s">
        <v>245</v>
      </c>
      <c r="B168" s="20" t="s">
        <v>121</v>
      </c>
      <c r="C168" s="21" t="s">
        <v>9</v>
      </c>
      <c r="D168" s="22" t="str">
        <f>IF(C168="nie","Podaj instrukcję obsługi podnośnika – powinna się ona znaleźć w najbliższym sąsiedztwie urządzenia. ","")</f>
        <v xml:space="preserve">Podaj instrukcję obsługi podnośnika – powinna się ona znaleźć w najbliższym sąsiedztwie urządzenia. </v>
      </c>
      <c r="E168" s="22"/>
    </row>
    <row r="169" spans="1:29" ht="65.25" customHeight="1" x14ac:dyDescent="0.25">
      <c r="A169" s="19" t="s">
        <v>246</v>
      </c>
      <c r="B169" s="20" t="s">
        <v>122</v>
      </c>
      <c r="C169" s="21" t="s">
        <v>9</v>
      </c>
      <c r="D169" s="22" t="str">
        <f>IF(C169="nie","Podaj informację o konieczności skontaktowania się z pracownikami obiektu w celu skorzystania z podnośnika - powinna się ona znaleźć i w opisie dostępności budynku, i przy samym podnośniku. ","")</f>
        <v xml:space="preserve">Podaj informację o konieczności skontaktowania się z pracownikami obiektu w celu skorzystania z podnośnika - powinna się ona znaleźć i w opisie dostępności budynku, i przy samym podnośniku. </v>
      </c>
      <c r="E169" s="22" t="str">
        <f>IF(C169="nie","Zaplanuj wymianę podnośnika na taki, który może być obsługiwany samodzielnie przez użytkownika. ","")</f>
        <v xml:space="preserve">Zaplanuj wymianę podnośnika na taki, który może być obsługiwany samodzielnie przez użytkownika. </v>
      </c>
    </row>
    <row r="170" spans="1:29" x14ac:dyDescent="0.25">
      <c r="AC170" s="13"/>
    </row>
    <row r="171" spans="1:29" ht="21" x14ac:dyDescent="0.25">
      <c r="A171" s="30" t="s">
        <v>247</v>
      </c>
      <c r="B171" s="30"/>
      <c r="C171" s="30"/>
      <c r="D171" s="30"/>
      <c r="E171" s="30"/>
      <c r="AC171" s="12"/>
    </row>
    <row r="172" spans="1:29" x14ac:dyDescent="0.25">
      <c r="B172" s="5"/>
      <c r="D172" s="8"/>
    </row>
    <row r="173" spans="1:29" ht="19.899999999999999" customHeight="1" x14ac:dyDescent="0.25">
      <c r="A173" s="16"/>
      <c r="B173" s="17" t="s">
        <v>5</v>
      </c>
      <c r="C173" s="18" t="s">
        <v>6</v>
      </c>
      <c r="D173" s="17" t="s">
        <v>26</v>
      </c>
      <c r="E173" s="17" t="s">
        <v>27</v>
      </c>
      <c r="AC173" s="14"/>
    </row>
    <row r="174" spans="1:29" ht="66" customHeight="1" x14ac:dyDescent="0.25">
      <c r="A174" s="19" t="s">
        <v>248</v>
      </c>
      <c r="B174" s="20" t="s">
        <v>249</v>
      </c>
      <c r="C174" s="21" t="s">
        <v>9</v>
      </c>
      <c r="D174" s="22" t="str">
        <f>IF(C174="nie","W opisie dostępności budynku podaj informację o szerokości korytarzy w budynku i miejscach, w których są one szczególnie wąskie.","")</f>
        <v>W opisie dostępności budynku podaj informację o szerokości korytarzy w budynku i miejscach, w których są one szczególnie wąskie.</v>
      </c>
      <c r="E174" s="22" t="str">
        <f>IF(C174="nie","Sprawdź, czy możliwe jest poszerzenie korytarzy lub wyznaczenie mijanek – miejsc, w których będą mogły minąć się np. dwie osoby na wózkach lub z wózkami.","")</f>
        <v>Sprawdź, czy możliwe jest poszerzenie korytarzy lub wyznaczenie mijanek – miejsc, w których będą mogły minąć się np. dwie osoby na wózkach lub z wózkami.</v>
      </c>
    </row>
    <row r="175" spans="1:29" ht="47.25" x14ac:dyDescent="0.25">
      <c r="A175" s="19" t="s">
        <v>250</v>
      </c>
      <c r="B175" s="20" t="s">
        <v>257</v>
      </c>
      <c r="C175" s="21" t="s">
        <v>9</v>
      </c>
      <c r="D175" s="22" t="str">
        <f>IF(C175="nie","W opisie dostępności budynku podaj informację o szerokości korytarzy w budynku i miejscach, w których są one szczególnie wąskie. ","")</f>
        <v xml:space="preserve">W opisie dostępności budynku podaj informację o szerokości korytarzy w budynku i miejscach, w których są one szczególnie wąskie. </v>
      </c>
      <c r="E175" s="22" t="str">
        <f>IF(C175="nie","Sprawdź, czy możliwe jest poszerzenie korytarzy w miejscu zmiany kierunku. Jeśli tak, zaplanuj takie prace. ","")</f>
        <v xml:space="preserve">Sprawdź, czy możliwe jest poszerzenie korytarzy w miejscu zmiany kierunku. Jeśli tak, zaplanuj takie prace. </v>
      </c>
    </row>
    <row r="176" spans="1:29" ht="31.5" x14ac:dyDescent="0.25">
      <c r="A176" s="19" t="s">
        <v>251</v>
      </c>
      <c r="B176" s="20" t="s">
        <v>258</v>
      </c>
      <c r="C176" s="21" t="s">
        <v>9</v>
      </c>
      <c r="D176" s="22" t="str">
        <f>IF(C176="nie","Przejdź do pytania 120.","")</f>
        <v>Przejdź do pytania 120.</v>
      </c>
      <c r="E176" s="22"/>
    </row>
    <row r="177" spans="1:29" ht="78.75" x14ac:dyDescent="0.25">
      <c r="A177" s="19" t="str">
        <f>IF(C176="nie","120.","")</f>
        <v>120.</v>
      </c>
      <c r="B177" s="20" t="str">
        <f>IF(C176="nie","Zmiany poziomów i pojedyncze stopnie można pokonać za pomocą rozkładanej pochylni/najazdu.","")</f>
        <v>Zmiany poziomów i pojedyncze stopnie można pokonać za pomocą rozkładanej pochylni/najazdu.</v>
      </c>
      <c r="C177" s="21" t="s">
        <v>9</v>
      </c>
      <c r="D177" s="22" t="str">
        <f>IF(C177="nie","W opisie dostępności budynku podaj informację o wszystkich barierach – pojedynczych stopniach, zmianach poziomów, uskokach itp. ","")</f>
        <v xml:space="preserve">W opisie dostępności budynku podaj informację o wszystkich barierach – pojedynczych stopniach, zmianach poziomów, uskokach itp. </v>
      </c>
      <c r="E177" s="22" t="str">
        <f>IF(C177="nie","Sprawdź, czy możliwe jest zniwelowanie tych barier i wyrównanie poziomów. Jeśli tak, zaplanuj takie prace. Jeśli nie, zaplanuj zakup rozkładanych pochylni / najazdów do pokonywania tych barier.","")</f>
        <v>Sprawdź, czy możliwe jest zniwelowanie tych barier i wyrównanie poziomów. Jeśli tak, zaplanuj takie prace. Jeśli nie, zaplanuj zakup rozkładanych pochylni / najazdów do pokonywania tych barier.</v>
      </c>
    </row>
    <row r="178" spans="1:29" ht="68.45" customHeight="1" x14ac:dyDescent="0.25">
      <c r="A178" s="19" t="s">
        <v>252</v>
      </c>
      <c r="B178" s="20" t="s">
        <v>259</v>
      </c>
      <c r="C178" s="21" t="s">
        <v>9</v>
      </c>
      <c r="D178" s="22" t="str">
        <f>IF(C178="nie","W opisie dostępności budynku podaj informację o tym, że wykończenie podłóg odbija światło (to istotne np. dla osób z niepełnosprawnościami wzroku i neuroatypowych).","")</f>
        <v>W opisie dostępności budynku podaj informację o tym, że wykończenie podłóg odbija światło (to istotne np. dla osób z niepełnosprawnościami wzroku i neuroatypowych).</v>
      </c>
      <c r="E178" s="22" t="str">
        <f>IF(C178="nie","Podczas najbliższego remontu zaplanuj zmatowienie podłóg lub ich wymianę. ","")</f>
        <v xml:space="preserve">Podczas najbliższego remontu zaplanuj zmatowienie podłóg lub ich wymianę. </v>
      </c>
    </row>
    <row r="179" spans="1:29" ht="116.25" customHeight="1" x14ac:dyDescent="0.25">
      <c r="A179" s="19" t="s">
        <v>253</v>
      </c>
      <c r="B179" s="20" t="s">
        <v>260</v>
      </c>
      <c r="C179" s="21" t="s">
        <v>9</v>
      </c>
      <c r="D179" s="22" t="str">
        <f>IF(C179="nie",AC179,"")</f>
        <v>Jeśli na ścianach znajduje się duża ilość luster i to one odbijają światło, usuń je lub zasłoń. Jeśli światło odbijają ściany (np. farba jest bardzo błyszcząca, podaj informację o tym w opisie dostępności (to istotne np. dla osób z niepełnosprawnościami wzroku i neuroatypowych).</v>
      </c>
      <c r="E179" s="22" t="str">
        <f>IF(C179="nie","Podczas najbliższego remontu zaplanuj zmatowienie ścian lub ich przemalowanie / zmianę okładzin. ","")</f>
        <v xml:space="preserve">Podczas najbliższego remontu zaplanuj zmatowienie ścian lub ich przemalowanie / zmianę okładzin. </v>
      </c>
      <c r="AC179" s="10" t="s">
        <v>261</v>
      </c>
    </row>
    <row r="180" spans="1:29" ht="52.5" customHeight="1" x14ac:dyDescent="0.25">
      <c r="A180" s="19" t="s">
        <v>254</v>
      </c>
      <c r="B180" s="20" t="s">
        <v>262</v>
      </c>
      <c r="C180" s="21" t="s">
        <v>9</v>
      </c>
      <c r="D180" s="22" t="str">
        <f>IF(C180="nie","W dolnej części ścian zamontuj skontrastowane ze ścianami i podłogami listwy cokołowe lub wymaluj kontrastowy pas z farby w kontrastowym kolorze.","")</f>
        <v>W dolnej części ścian zamontuj skontrastowane ze ścianami i podłogami listwy cokołowe lub wymaluj kontrastowy pas z farby w kontrastowym kolorze.</v>
      </c>
      <c r="E180" s="22"/>
    </row>
    <row r="181" spans="1:29" ht="63" customHeight="1" x14ac:dyDescent="0.25">
      <c r="A181" s="19" t="s">
        <v>255</v>
      </c>
      <c r="B181" s="20" t="s">
        <v>263</v>
      </c>
      <c r="C181" s="21" t="s">
        <v>9</v>
      </c>
      <c r="D181" s="22" t="str">
        <f>IF(C181="nie","Usuń lub przestaw wszystkie meble i elementy wyposażenia, które zawężają korytarze lub są ustawione w taki sposób, że można w nie niechcący wpaść lub potknąć się o nie.","")</f>
        <v>Usuń lub przestaw wszystkie meble i elementy wyposażenia, które zawężają korytarze lub są ustawione w taki sposób, że można w nie niechcący wpaść lub potknąć się o nie.</v>
      </c>
      <c r="E181" s="22"/>
      <c r="AC181" s="10" t="s">
        <v>8</v>
      </c>
    </row>
    <row r="182" spans="1:29" ht="84" customHeight="1" x14ac:dyDescent="0.25">
      <c r="A182" s="19" t="s">
        <v>256</v>
      </c>
      <c r="B182" s="20" t="s">
        <v>264</v>
      </c>
      <c r="C182" s="23" t="s">
        <v>9</v>
      </c>
      <c r="D182" s="22" t="str">
        <f>IF(C182="nie","Przymocuj wszystkie wycieraczki, dywany i wykładziny do podłoża np. za pomocą taśmy dwustronnej.",IF(C182="nie dotyczy","Przejdź do pytania 127.",""))</f>
        <v>Przymocuj wszystkie wycieraczki, dywany i wykładziny do podłoża np. za pomocą taśmy dwustronnej.</v>
      </c>
      <c r="E182" s="22"/>
      <c r="AC182" s="10" t="s">
        <v>9</v>
      </c>
    </row>
    <row r="183" spans="1:29" ht="50.25" customHeight="1" x14ac:dyDescent="0.25">
      <c r="A183" s="19" t="str">
        <f>IF(OR(C182="tak",C182="nie"),"126.","")</f>
        <v>126.</v>
      </c>
      <c r="B183" s="20" t="str">
        <f>IF(OR(C182="tak",C182="nie"),"Wykładziny, dywany i wycieraczki (jeśli są na podłogach) mają włókna o długości nie przekraczającej 1,5 cm.","")</f>
        <v>Wykładziny, dywany i wycieraczki (jeśli są na podłogach) mają włókna o długości nie przekraczającej 1,5 cm.</v>
      </c>
      <c r="C183" s="23" t="s">
        <v>9</v>
      </c>
      <c r="D183" s="22" t="str">
        <f>IF(AND(OR(C182="tak",C182="nie"),C183="nie"),"W opisie dostępności budynku podaj informację o miejscach, w których występują wykładziny, dywany lub wycieraczki z długim włosiem.","")</f>
        <v>W opisie dostępności budynku podaj informację o miejscach, w których występują wykładziny, dywany lub wycieraczki z długim włosiem.</v>
      </c>
      <c r="E183" s="22" t="str">
        <f>IF(AND(OR(C182="tak",C182="nie"),C183="nie"),"Usuń wszystkie wycieraczki, dywany i wykładziny z włóknami dłuższymi niż 1,5 cm lub wymień je na nowe, o krótkich włóknach.","")</f>
        <v>Usuń wszystkie wycieraczki, dywany i wykładziny z włóknami dłuższymi niż 1,5 cm lub wymień je na nowe, o krótkich włóknach.</v>
      </c>
      <c r="AC183" s="10" t="s">
        <v>265</v>
      </c>
    </row>
    <row r="184" spans="1:29" x14ac:dyDescent="0.25">
      <c r="AC184" s="13"/>
    </row>
    <row r="185" spans="1:29" ht="21" x14ac:dyDescent="0.25">
      <c r="A185" s="30" t="s">
        <v>266</v>
      </c>
      <c r="B185" s="30"/>
      <c r="C185" s="30"/>
      <c r="D185" s="30"/>
      <c r="E185" s="30"/>
      <c r="AC185" s="12"/>
    </row>
    <row r="186" spans="1:29" x14ac:dyDescent="0.25">
      <c r="B186" s="5"/>
      <c r="D186" s="8"/>
    </row>
    <row r="187" spans="1:29" ht="19.899999999999999" customHeight="1" x14ac:dyDescent="0.25">
      <c r="A187" s="16"/>
      <c r="B187" s="17" t="s">
        <v>5</v>
      </c>
      <c r="C187" s="18" t="s">
        <v>6</v>
      </c>
      <c r="D187" s="17" t="s">
        <v>26</v>
      </c>
      <c r="E187" s="17" t="s">
        <v>27</v>
      </c>
      <c r="AC187" s="14"/>
    </row>
    <row r="188" spans="1:29" x14ac:dyDescent="0.25">
      <c r="A188" s="19" t="s">
        <v>267</v>
      </c>
      <c r="B188" s="20" t="s">
        <v>268</v>
      </c>
      <c r="C188" s="21" t="s">
        <v>8</v>
      </c>
      <c r="D188" s="22" t="str">
        <f>IF(C188="nie","Przejdź do kolejnej części (pytanie 133).","")</f>
        <v/>
      </c>
      <c r="E188" s="22"/>
    </row>
    <row r="189" spans="1:29" ht="51" customHeight="1" x14ac:dyDescent="0.25">
      <c r="A189" s="19" t="str">
        <f>IF(C188="tak","128.","")</f>
        <v>128.</v>
      </c>
      <c r="B189" s="20" t="str">
        <f>IF(C188="tak","Recepcja jest umieszczona w taki sposób, że łatwo ją zauważyć ze strefy wejściowej do obiektu.","")</f>
        <v>Recepcja jest umieszczona w taki sposób, że łatwo ją zauważyć ze strefy wejściowej do obiektu.</v>
      </c>
      <c r="C189" s="21" t="s">
        <v>9</v>
      </c>
      <c r="D189" s="22" t="str">
        <f>IF(AND(C188="tak",C189="nie"),"W opisie dostępności budynku podaj informację o lokalizacji recepcji i drodze do niej od wejścia do budynku.","")</f>
        <v>W opisie dostępności budynku podaj informację o lokalizacji recepcji i drodze do niej od wejścia do budynku.</v>
      </c>
      <c r="E189" s="22"/>
    </row>
    <row r="190" spans="1:29" ht="63" x14ac:dyDescent="0.25">
      <c r="A190" s="19" t="str">
        <f>IF(C188="tak","129.","")</f>
        <v>129.</v>
      </c>
      <c r="B190" s="20" t="str">
        <f>IF(C188="tak","Lada/kontuar jest obniżona na odcinku o długości co najmniej 90 cm do wysokości maksymalnej 80 cm.","")</f>
        <v>Lada/kontuar jest obniżona na odcinku o długości co najmniej 90 cm do wysokości maksymalnej 80 cm.</v>
      </c>
      <c r="C190" s="21" t="s">
        <v>9</v>
      </c>
      <c r="D190" s="22" t="str">
        <f>IF(AND(C188="tak",C190="nie"),"W opisie dostępności budynku podaj informację o wysokości lady recepcji – dodaj fotografię.","")</f>
        <v>W opisie dostępności budynku podaj informację o wysokości lady recepcji – dodaj fotografię.</v>
      </c>
      <c r="E190" s="22" t="str">
        <f>IF(AND(C188="tak",C190="nie"),"Zaplanuj obniżenie lady recepcji do wysokości maksymalnie 80 cm. Obniżenie powinno mieć długość co najmniej 90 cm i znajdować się z przodu lady – nie z boku lub z tyłu.","")</f>
        <v>Zaplanuj obniżenie lady recepcji do wysokości maksymalnie 80 cm. Obniżenie powinno mieć długość co najmniej 90 cm i znajdować się z przodu lady – nie z boku lub z tyłu.</v>
      </c>
    </row>
    <row r="191" spans="1:29" ht="31.5" x14ac:dyDescent="0.25">
      <c r="A191" s="19" t="str">
        <f>IF(C188="tak","130.","")</f>
        <v>130.</v>
      </c>
      <c r="B191" s="20" t="str">
        <f>IF(C188="tak","Przy ladzie znajduje się miejsce na odłożenie kul, balkonika itp.","")</f>
        <v>Przy ladzie znajduje się miejsce na odłożenie kul, balkonika itp.</v>
      </c>
      <c r="C191" s="21" t="s">
        <v>9</v>
      </c>
      <c r="D191" s="22" t="str">
        <f>IF(AND(C188="tak",C191="nie"),"Na zabudowie recepcji lub zaraz obok niej zamontuj uchwyt do kul i lasek.","")</f>
        <v>Na zabudowie recepcji lub zaraz obok niej zamontuj uchwyt do kul i lasek.</v>
      </c>
      <c r="E191" s="22"/>
    </row>
    <row r="192" spans="1:29" ht="132.75" customHeight="1" x14ac:dyDescent="0.25">
      <c r="A192" s="19" t="str">
        <f>IF(C188="tak","131.","")</f>
        <v>131.</v>
      </c>
      <c r="B192" s="20" t="str">
        <f>IF(C188="tak","Osoba w recepcji jest widoczna zarówno dla osoby stojącej i siedzącej.","")</f>
        <v>Osoba w recepcji jest widoczna zarówno dla osoby stojącej i siedzącej.</v>
      </c>
      <c r="C192" s="21" t="s">
        <v>9</v>
      </c>
      <c r="D192" s="22" t="str">
        <f>IF(AND(C188="tak",C192="nie"),AC192,"")</f>
        <v>Jeśli problemem jest wysokość lady, sprawdź, czy możliwa jest wymiana krzesła osoby pracującej na wyższe, np. barowe. Jeśli nie jest to możliwe albo problem z widocznością wynika z innych kwestii, zastanów się, czy możliwe jest przearanżowanie stanowiska w taki sposób, aby osoba za ladą była widoczna i dla osób stojących, i dla osób siedzących albo niskiego wzrostu.</v>
      </c>
      <c r="E192" s="22"/>
      <c r="AC192" s="10" t="s">
        <v>280</v>
      </c>
    </row>
    <row r="193" spans="1:29" ht="50.45" customHeight="1" x14ac:dyDescent="0.25">
      <c r="A193" s="19" t="str">
        <f>IF(C188="tak","132.","")</f>
        <v>132.</v>
      </c>
      <c r="B193" s="20" t="str">
        <f>IF(C188="tak","Twarz osoby pracującej w recepcji jest jasno oświetlona.","")</f>
        <v>Twarz osoby pracującej w recepcji jest jasno oświetlona.</v>
      </c>
      <c r="C193" s="21" t="s">
        <v>9</v>
      </c>
      <c r="D193" s="22" t="str">
        <f>IF(AND(C188="tak",C193="nie"),"Sprawdź, czy możliwe jest dodanie źródła światła w taki sposób, aby twarz osoby w recepcji była jasno oświetlona.","")</f>
        <v>Sprawdź, czy możliwe jest dodanie źródła światła w taki sposób, aby twarz osoby w recepcji była jasno oświetlona.</v>
      </c>
      <c r="E193" s="22"/>
    </row>
    <row r="195" spans="1:29" ht="21" x14ac:dyDescent="0.25">
      <c r="A195" s="30" t="s">
        <v>270</v>
      </c>
      <c r="B195" s="30"/>
      <c r="C195" s="30"/>
      <c r="D195" s="30"/>
      <c r="E195" s="30"/>
    </row>
    <row r="196" spans="1:29" x14ac:dyDescent="0.25">
      <c r="B196" s="5"/>
      <c r="D196" s="8"/>
    </row>
    <row r="197" spans="1:29" x14ac:dyDescent="0.25">
      <c r="A197" s="16"/>
      <c r="B197" s="17" t="s">
        <v>5</v>
      </c>
      <c r="C197" s="18" t="s">
        <v>6</v>
      </c>
      <c r="D197" s="17" t="s">
        <v>26</v>
      </c>
      <c r="E197" s="17" t="s">
        <v>27</v>
      </c>
    </row>
    <row r="198" spans="1:29" x14ac:dyDescent="0.25">
      <c r="A198" s="19" t="s">
        <v>272</v>
      </c>
      <c r="B198" s="20" t="s">
        <v>271</v>
      </c>
      <c r="C198" s="21" t="s">
        <v>8</v>
      </c>
      <c r="D198" s="22" t="str">
        <f>IF(C198="nie","Przejdź do kolejnej części (pytanie 139).","")</f>
        <v/>
      </c>
      <c r="E198" s="22"/>
    </row>
    <row r="199" spans="1:29" ht="47.25" x14ac:dyDescent="0.25">
      <c r="A199" s="19" t="str">
        <f>IF(C198="tak","134.","")</f>
        <v>134.</v>
      </c>
      <c r="B199" s="20" t="str">
        <f>IF(C198="tak","Punkt informacyjny jest umieszczony w taki sposób, że łatwo go zauważyć ze strefy wejściowej do obiektu.","")</f>
        <v>Punkt informacyjny jest umieszczony w taki sposób, że łatwo go zauważyć ze strefy wejściowej do obiektu.</v>
      </c>
      <c r="C199" s="21" t="s">
        <v>9</v>
      </c>
      <c r="D199" s="22" t="str">
        <f>IF(AND(C198="tak",C199="nie"),"W opisie dostępności budynku podaj informację o lokalizacji punktu i drodze do niego od wejścia do budynku.","")</f>
        <v>W opisie dostępności budynku podaj informację o lokalizacji punktu i drodze do niego od wejścia do budynku.</v>
      </c>
      <c r="E199" s="22"/>
    </row>
    <row r="200" spans="1:29" ht="63" x14ac:dyDescent="0.25">
      <c r="A200" s="19" t="str">
        <f>IF(C198="tak","135.","")</f>
        <v>135.</v>
      </c>
      <c r="B200" s="20" t="str">
        <f>IF(C198="tak","Lada/kontuar jest obniżona na odcinku o długości co najmniej 90 cm do wysokości maksymalnej 80 cm.","")</f>
        <v>Lada/kontuar jest obniżona na odcinku o długości co najmniej 90 cm do wysokości maksymalnej 80 cm.</v>
      </c>
      <c r="C200" s="21" t="s">
        <v>9</v>
      </c>
      <c r="D200" s="22" t="str">
        <f>IF(AND(C198="tak",C200="nie"),"W opisie dostępności budynku podaj informację o wysokości lady punktu – dodaj fotografię.","")</f>
        <v>W opisie dostępności budynku podaj informację o wysokości lady punktu – dodaj fotografię.</v>
      </c>
      <c r="E200" s="22" t="str">
        <f>IF(AND(C198="tak",C200="nie"),"Zaplanuj obniżenie lady recepcji do wysokości maksymalnie 80 cm. Obniżenie powinno mieć długość co najmniej 90 cm i znajdować się z przodu lady – nie z boku lub z tyłu.","")</f>
        <v>Zaplanuj obniżenie lady recepcji do wysokości maksymalnie 80 cm. Obniżenie powinno mieć długość co najmniej 90 cm i znajdować się z przodu lady – nie z boku lub z tyłu.</v>
      </c>
    </row>
    <row r="201" spans="1:29" ht="31.5" x14ac:dyDescent="0.25">
      <c r="A201" s="19" t="str">
        <f>IF(C198="tak","136.","")</f>
        <v>136.</v>
      </c>
      <c r="B201" s="20" t="str">
        <f>IF(C198="tak","Przy ladzie znajduje się miejsce na odłożenie kul, balkonika itp.","")</f>
        <v>Przy ladzie znajduje się miejsce na odłożenie kul, balkonika itp.</v>
      </c>
      <c r="C201" s="21" t="s">
        <v>9</v>
      </c>
      <c r="D201" s="22" t="str">
        <f>IF(AND(C198="tak",C201="nie"),"Na zabudowie meblowej punktu lub zaraz obok niej zamontuj uchwyt do kul i lasek.","")</f>
        <v>Na zabudowie meblowej punktu lub zaraz obok niej zamontuj uchwyt do kul i lasek.</v>
      </c>
      <c r="E201" s="22"/>
    </row>
    <row r="202" spans="1:29" ht="126" x14ac:dyDescent="0.25">
      <c r="A202" s="19" t="str">
        <f>IF(C198="tak","137.","")</f>
        <v>137.</v>
      </c>
      <c r="B202" s="20" t="str">
        <f>IF(C198="tak","Osoba w punkcie informacyjnym jest widoczna zarówno dla osoby stojącej i siedzącej.","")</f>
        <v>Osoba w punkcie informacyjnym jest widoczna zarówno dla osoby stojącej i siedzącej.</v>
      </c>
      <c r="C202" s="21" t="s">
        <v>9</v>
      </c>
      <c r="D202" s="22" t="str">
        <f>IF(AND(C198="tak",C202="nie"),AC202,"")</f>
        <v>Jeśli problemem jest wysokość lady, sprawdź, czy możliwa jest wymiana krzesła osoby pracującej na wyższe, np. barowe. Jeśli nie jest to możliwe albo problem z widocznością wynika z innych kwestii, zastanów się, czy możliwe jest przearanżowanie stanowiska w taki sposób, aby osoba za ladą była widoczna i dla osób stojących, i dla osób siedzących albo niskiego wzrostu</v>
      </c>
      <c r="E202" s="22"/>
      <c r="AC202" s="10" t="s">
        <v>269</v>
      </c>
    </row>
    <row r="203" spans="1:29" ht="47.25" x14ac:dyDescent="0.25">
      <c r="A203" s="19" t="str">
        <f>IF(C198="tak","138.","")</f>
        <v>138.</v>
      </c>
      <c r="B203" s="20" t="str">
        <f>IF(C198="tak","Twarz osoby pracującej w punkcie informacyjnym jest jasno oświetlona.","")</f>
        <v>Twarz osoby pracującej w punkcie informacyjnym jest jasno oświetlona.</v>
      </c>
      <c r="C203" s="21" t="s">
        <v>9</v>
      </c>
      <c r="D203" s="22" t="str">
        <f>IF(AND(C198="tak",C203="nie"),"Sprawdź, czy możliwe jest dodanie źródła światła w taki sposób, aby twarz osoby w punkcie informacyjnym była jasno oświetlona.","")</f>
        <v>Sprawdź, czy możliwe jest dodanie źródła światła w taki sposób, aby twarz osoby w punkcie informacyjnym była jasno oświetlona.</v>
      </c>
      <c r="E203" s="22"/>
    </row>
    <row r="205" spans="1:29" ht="21" x14ac:dyDescent="0.25">
      <c r="A205" s="30" t="s">
        <v>273</v>
      </c>
      <c r="B205" s="30"/>
      <c r="C205" s="30"/>
      <c r="D205" s="30"/>
      <c r="E205" s="30"/>
    </row>
    <row r="206" spans="1:29" x14ac:dyDescent="0.25">
      <c r="B206" s="5"/>
      <c r="D206" s="8"/>
    </row>
    <row r="207" spans="1:29" x14ac:dyDescent="0.25">
      <c r="A207" s="16"/>
      <c r="B207" s="17" t="s">
        <v>5</v>
      </c>
      <c r="C207" s="18" t="s">
        <v>6</v>
      </c>
      <c r="D207" s="17" t="s">
        <v>26</v>
      </c>
      <c r="E207" s="17" t="s">
        <v>27</v>
      </c>
    </row>
    <row r="208" spans="1:29" x14ac:dyDescent="0.25">
      <c r="A208" s="19" t="s">
        <v>274</v>
      </c>
      <c r="B208" s="20" t="s">
        <v>275</v>
      </c>
      <c r="C208" s="21" t="s">
        <v>8</v>
      </c>
      <c r="D208" s="22" t="str">
        <f>IF(C208="nie","Przejdź do kolejnej części (pytanie 144).","")</f>
        <v/>
      </c>
      <c r="E208" s="22"/>
    </row>
    <row r="209" spans="1:29" ht="78.75" x14ac:dyDescent="0.25">
      <c r="A209" s="19" t="str">
        <f>IF(C208="tak","140.","")</f>
        <v>140.</v>
      </c>
      <c r="B209" s="20" t="str">
        <f>IF(C208="tak","Meble i elementy wyposażenia poczekalni nie zawężają szerokości przejścia i nie powodują utrudnień w poruszaniu się.","")</f>
        <v>Meble i elementy wyposażenia poczekalni nie zawężają szerokości przejścia i nie powodują utrudnień w poruszaniu się.</v>
      </c>
      <c r="C209" s="21" t="s">
        <v>9</v>
      </c>
      <c r="D209" s="22" t="str">
        <f>IF(AND(C208="tak",C209="nie"),"Usuń lub przestaw wszystkie meble i elementy wyposażenia, które utrudniają poruszanie się w przebieralni lub są ustawione w taki sposób, że można w nie niechcący wpaść lub potknąć się o nie.","")</f>
        <v>Usuń lub przestaw wszystkie meble i elementy wyposażenia, które utrudniają poruszanie się w przebieralni lub są ustawione w taki sposób, że można w nie niechcący wpaść lub potknąć się o nie.</v>
      </c>
      <c r="E209" s="22"/>
    </row>
    <row r="210" spans="1:29" ht="67.900000000000006" customHeight="1" x14ac:dyDescent="0.25">
      <c r="A210" s="19" t="str">
        <f>IF(C208="tak","141.","")</f>
        <v>141.</v>
      </c>
      <c r="B210" s="20" t="str">
        <f>IF(C208="tak","W poczekalni są miejsca siedzące.","")</f>
        <v>W poczekalni są miejsca siedzące.</v>
      </c>
      <c r="C210" s="21" t="s">
        <v>8</v>
      </c>
      <c r="D210" s="22" t="str">
        <f>IF(AND(C208="tak",C210="nie"),"W opisie dostępności budynku podaj informację o konieczności oczekiwania na obsługę na stojąco.","")</f>
        <v/>
      </c>
      <c r="E210" s="22" t="str">
        <f>IF(AND(C208="tak",C210="nie"),"Sprawdź, czy w poczekalni zmieszczą się miejsca siedzące – kanapa, krzesła lub ławka. Jeśli tak, wstaw je – postaraj się, żeby ok. 1/3 wszystkim miejsc siedzących miała podłokietniki i oparcie.","")</f>
        <v/>
      </c>
    </row>
    <row r="211" spans="1:29" ht="53.45" customHeight="1" x14ac:dyDescent="0.25">
      <c r="A211" s="19" t="str">
        <f>IF(AND(C208="tak",C210="tak"),"142.","")</f>
        <v>142.</v>
      </c>
      <c r="B211" s="20" t="str">
        <f>IF(AND(C208="tak",C210="tak"),"Przynajmniej 1/3 miejsc siedzących ma oparcie i podłokietniki.","")</f>
        <v>Przynajmniej 1/3 miejsc siedzących ma oparcie i podłokietniki.</v>
      </c>
      <c r="C211" s="21" t="s">
        <v>9</v>
      </c>
      <c r="D211" s="22" t="str">
        <f>IF(AND(C208="tak",C210="tak",C211="nie"),"Wymień część miejsc siedzących lub dostaw kolejne – postaraj się, żeby ok. 1/3 wszystkim miejsc siedzących miała podłokietniki i oparcie.","")</f>
        <v>Wymień część miejsc siedzących lub dostaw kolejne – postaraj się, żeby ok. 1/3 wszystkim miejsc siedzących miała podłokietniki i oparcie.</v>
      </c>
      <c r="E211" s="22"/>
    </row>
    <row r="212" spans="1:29" ht="84" customHeight="1" x14ac:dyDescent="0.25">
      <c r="A212" s="19" t="str">
        <f>IF(AND(C208="tak",C210="tak"),"143.","")</f>
        <v>143.</v>
      </c>
      <c r="B212" s="20" t="str">
        <f>IF(AND(C208="tak",C210="tak"),"Obok przynajmniej jednego miejsca siedzącego jest miejsce na ustawienie wózka o szerokości co najmniej 90 cm.","")</f>
        <v>Obok przynajmniej jednego miejsca siedzącego jest miejsce na ustawienie wózka o szerokości co najmniej 90 cm.</v>
      </c>
      <c r="C212" s="21" t="s">
        <v>9</v>
      </c>
      <c r="D212" s="22" t="str">
        <f>IF(AND(C208="tak",C210="tak",C212="nie"),"Od razu: spróbuj tak zmienić aranżację pomieszczenia, żeby przynajmniej przy jednym miejscu siedzącym dało się zaparkować wózek. Zapewnij wolną przestrzeń o wymiarach co najmniej 90 cm szerokości i 1,4 m długości.","")</f>
        <v>Od razu: spróbuj tak zmienić aranżację pomieszczenia, żeby przynajmniej przy jednym miejscu siedzącym dało się zaparkować wózek. Zapewnij wolną przestrzeń o wymiarach co najmniej 90 cm szerokości i 1,4 m długości.</v>
      </c>
      <c r="E212" s="22"/>
    </row>
    <row r="214" spans="1:29" ht="21" x14ac:dyDescent="0.25">
      <c r="A214" s="30" t="s">
        <v>277</v>
      </c>
      <c r="B214" s="30"/>
      <c r="C214" s="30"/>
      <c r="D214" s="30"/>
      <c r="E214" s="30"/>
    </row>
    <row r="215" spans="1:29" x14ac:dyDescent="0.25">
      <c r="B215" s="5"/>
      <c r="D215" s="8"/>
    </row>
    <row r="216" spans="1:29" x14ac:dyDescent="0.25">
      <c r="A216" s="16"/>
      <c r="B216" s="17" t="s">
        <v>5</v>
      </c>
      <c r="C216" s="18" t="s">
        <v>6</v>
      </c>
      <c r="D216" s="17" t="s">
        <v>26</v>
      </c>
      <c r="E216" s="17" t="s">
        <v>27</v>
      </c>
    </row>
    <row r="217" spans="1:29" x14ac:dyDescent="0.25">
      <c r="A217" s="19" t="s">
        <v>276</v>
      </c>
      <c r="B217" s="20" t="s">
        <v>278</v>
      </c>
      <c r="C217" s="21" t="s">
        <v>8</v>
      </c>
      <c r="D217" s="22" t="str">
        <f>IF(C217="nie","Przejdź do kolejnej części (pytanie 158).","")</f>
        <v/>
      </c>
      <c r="E217" s="22"/>
    </row>
    <row r="218" spans="1:29" ht="46.9" customHeight="1" x14ac:dyDescent="0.25">
      <c r="A218" s="19" t="str">
        <f>IF(C217="tak","145.","")</f>
        <v>145.</v>
      </c>
      <c r="B218" s="20" t="str">
        <f>IF(C217="tak","Szatnia/przebieralnia jest umieszczona w taki sposób, że łatwo ją zauważyć ze strefy wejściowej do obiektu.","")</f>
        <v>Szatnia/przebieralnia jest umieszczona w taki sposób, że łatwo ją zauważyć ze strefy wejściowej do obiektu.</v>
      </c>
      <c r="C218" s="21" t="s">
        <v>9</v>
      </c>
      <c r="D218" s="22" t="str">
        <f>IF(AND(C217="tak",C218="nie"),"W opisie dostępności budynku podaj informację o lokalizacji szatni/przebieralni i drodze do niej od wejścia do budynku.","")</f>
        <v>W opisie dostępności budynku podaj informację o lokalizacji szatni/przebieralni i drodze do niej od wejścia do budynku.</v>
      </c>
      <c r="E218" s="22"/>
    </row>
    <row r="219" spans="1:29" x14ac:dyDescent="0.25">
      <c r="A219" s="19" t="str">
        <f>IF(C217="tak","146.","")</f>
        <v>146.</v>
      </c>
      <c r="B219" s="20" t="str">
        <f>IF(C217="tak","W szatni/przebieralni jest kontuar lub lada.","")</f>
        <v>W szatni/przebieralni jest kontuar lub lada.</v>
      </c>
      <c r="C219" s="21" t="s">
        <v>8</v>
      </c>
      <c r="D219" s="22" t="str">
        <f>IF(AND(C217="tak",C219="nie"),"Przejdź do pytania 150.","")</f>
        <v/>
      </c>
      <c r="E219" s="22"/>
    </row>
    <row r="220" spans="1:29" ht="66.599999999999994" customHeight="1" x14ac:dyDescent="0.25">
      <c r="A220" s="19" t="str">
        <f>IF(AND(C217="tak",C219="tak"),"147.","")</f>
        <v>147.</v>
      </c>
      <c r="B220" s="20" t="str">
        <f>IF(AND(C217="tak",C219="tak"),"Lada / kontuar jest obniżona na odcinku o długości co najmniej 90 cm do wysokości maksymalnej 80 cm.","")</f>
        <v>Lada / kontuar jest obniżona na odcinku o długości co najmniej 90 cm do wysokości maksymalnej 80 cm.</v>
      </c>
      <c r="C220" s="21" t="s">
        <v>9</v>
      </c>
      <c r="D220" s="22" t="str">
        <f>IF(AND(C217="tak",C219="tak",C220="nie"),"W opisie dostępności budynku podaj informację o wysokości lady szatni – dodaj fotografię.","")</f>
        <v>W opisie dostępności budynku podaj informację o wysokości lady szatni – dodaj fotografię.</v>
      </c>
      <c r="E220" s="22" t="str">
        <f>IF(AND(C217="tak",C219="tak",C220="nie"),"Zaplanuj obniżenie lady do wysokości maksymalnie 80 cm. Obniżenie powinno mieć długość co najmniej 90 cm i znajdować się z przodu lady – nie z boku lub z tyłu.","")</f>
        <v>Zaplanuj obniżenie lady do wysokości maksymalnie 80 cm. Obniżenie powinno mieć długość co najmniej 90 cm i znajdować się z przodu lady – nie z boku lub z tyłu.</v>
      </c>
    </row>
    <row r="221" spans="1:29" ht="31.5" x14ac:dyDescent="0.25">
      <c r="A221" s="19" t="str">
        <f>IF(AND(C217="tak",C219="tak"),"148.","")</f>
        <v>148.</v>
      </c>
      <c r="B221" s="20" t="str">
        <f>IF(AND(C217="tak",C219="tak"),"Przy ladzie znajduje się miejsce na odłożenie kul, balkonika itp.","")</f>
        <v>Przy ladzie znajduje się miejsce na odłożenie kul, balkonika itp.</v>
      </c>
      <c r="C221" s="21" t="s">
        <v>8</v>
      </c>
      <c r="D221" s="22" t="str">
        <f>IF(AND(C217="tak",C219="tak",C221="nie"),"Na zabudowie szatni lub zaraz obok niej zamontuj uchwyt do kul i lasek. ","")</f>
        <v/>
      </c>
      <c r="E221" s="22"/>
    </row>
    <row r="222" spans="1:29" ht="127.9" customHeight="1" x14ac:dyDescent="0.25">
      <c r="A222" s="19" t="str">
        <f>IF(AND(C217="tak",C219="tak"),"149.","")</f>
        <v>149.</v>
      </c>
      <c r="B222" s="20" t="str">
        <f>IF(AND(C217="tak",C219="tak"),"Osoba za ladą szatni jest widoczna zarówno dla osoby stojącej i siedzącej.","")</f>
        <v>Osoba za ladą szatni jest widoczna zarówno dla osoby stojącej i siedzącej.</v>
      </c>
      <c r="C222" s="21" t="s">
        <v>9</v>
      </c>
      <c r="D222" s="22" t="str">
        <f>IF(AND(C217="tak",C219="tak",C222="nie"),AC222,"")</f>
        <v>Jeśli problemem jest wysokość lady, sprawdź, czy możliwa jest wymiana krzesła osoby pracującej na wyższe, np. barowe. Jeśli nie jest to możliwe albo problem z widocznością wynika z innych kwestii, zastanów się, czy możliwe jest przearanżowanie stanowiska w taki sposób, aby osoba za ladą była widoczna i dla osób stojących, i dla osób siedzących albo niskiego wzrostu.</v>
      </c>
      <c r="E222" s="22"/>
      <c r="AC222" s="10" t="s">
        <v>280</v>
      </c>
    </row>
    <row r="223" spans="1:29" ht="47.25" x14ac:dyDescent="0.25">
      <c r="A223" s="19" t="str">
        <f>IF(C217="tak","150.","")</f>
        <v>150.</v>
      </c>
      <c r="B223" s="20" t="str">
        <f>IF(C217="tak","W szatni/przebieralni są wieszaki lub haczyki na ubrania, z których klienci/goście korzystają samodzielnie.","")</f>
        <v>W szatni/przebieralni są wieszaki lub haczyki na ubrania, z których klienci/goście korzystają samodzielnie.</v>
      </c>
      <c r="C223" s="21" t="s">
        <v>8</v>
      </c>
      <c r="D223" s="22" t="str">
        <f>IF(AND(C217="tak",C223="nie"),"Przejdź do pytania 152.","")</f>
        <v/>
      </c>
      <c r="E223" s="22"/>
    </row>
    <row r="224" spans="1:29" ht="47.25" x14ac:dyDescent="0.25">
      <c r="A224" s="19" t="str">
        <f>IF(AND(C217="tak",C223="tak"),"151.","")</f>
        <v>151.</v>
      </c>
      <c r="B224" s="20" t="str">
        <f>IF(AND(C217="tak",C223="tak"),"Przynajmniej część wieszaków znajduje się na wysokości do 1,1 m (wygodnej dla osób niskiego wzrostu, użytkowników wózków i dzieci).","")</f>
        <v>Przynajmniej część wieszaków znajduje się na wysokości do 1,1 m (wygodnej dla osób niskiego wzrostu, użytkowników wózków i dzieci).</v>
      </c>
      <c r="C224" s="21" t="s">
        <v>9</v>
      </c>
      <c r="D224" s="22" t="str">
        <f>IF(AND(C217="tak",C223="tak",C224="nie"),"Zamontuj kilka wieszaków na ubrania na wysokości ok. 1,1 m.","")</f>
        <v>Zamontuj kilka wieszaków na ubrania na wysokości ok. 1,1 m.</v>
      </c>
      <c r="E224" s="22"/>
    </row>
    <row r="225" spans="1:29" ht="31.5" x14ac:dyDescent="0.25">
      <c r="A225" s="19" t="str">
        <f>IF(C217="tak","152.","")</f>
        <v>152.</v>
      </c>
      <c r="B225" s="20" t="str">
        <f>IF(C217="tak","W szatni/przebieralni są samoobsługowe szafki na ubrania.","")</f>
        <v>W szatni/przebieralni są samoobsługowe szafki na ubrania.</v>
      </c>
      <c r="C225" s="21" t="s">
        <v>8</v>
      </c>
      <c r="D225" s="22" t="str">
        <f>IF(AND(C217="tak",C225="nie"),"Przejdź do pytania 154.","")</f>
        <v/>
      </c>
      <c r="E225" s="22"/>
    </row>
    <row r="226" spans="1:29" ht="81" customHeight="1" x14ac:dyDescent="0.25">
      <c r="A226" s="19" t="str">
        <f>IF(AND(C217="tak",C225="tak"),"153.","")</f>
        <v>153.</v>
      </c>
      <c r="B226" s="20" t="str">
        <f>IF(AND(C217="tak",C225="tak"),"Przynajmniej część szafek samoobsługowych umieszczono w taki sposób, że miejsce ich zamykania / otwierania (np. zamek, miejsce przyłożenia karty lub opaski) znajduje się na wysokości w przedziale 0,8-1,1 m.","")</f>
        <v>Przynajmniej część szafek samoobsługowych umieszczono w taki sposób, że miejsce ich zamykania / otwierania (np. zamek, miejsce przyłożenia karty lub opaski) znajduje się na wysokości w przedziale 0,8-1,1 m.</v>
      </c>
      <c r="C226" s="21" t="s">
        <v>9</v>
      </c>
      <c r="D226" s="22" t="str">
        <f>IF(AND(C217="tak",C225="tak",C226="nie"),"W opisie dostępności budynku podaj informację o wyglądzie szafek samoobsługowych i sposobie korzystania z nich (kluczyk, opaska, karta).","")</f>
        <v>W opisie dostępności budynku podaj informację o wyglądzie szafek samoobsługowych i sposobie korzystania z nich (kluczyk, opaska, karta).</v>
      </c>
      <c r="E226" s="22" t="str">
        <f>IF(AND(C217="tak",C225="tak",C226="nie"),"Umieść kilka szafek w taki sposób, żeby miejsce ich zamykania / otwierania znalazło się na wysokości w przedziale 0,8-1,1 m.","")</f>
        <v>Umieść kilka szafek w taki sposób, żeby miejsce ich zamykania / otwierania znalazło się na wysokości w przedziale 0,8-1,1 m.</v>
      </c>
    </row>
    <row r="227" spans="1:29" ht="67.150000000000006" customHeight="1" x14ac:dyDescent="0.25">
      <c r="A227" s="19" t="str">
        <f>IF(C217="tak","154.","")</f>
        <v>154.</v>
      </c>
      <c r="B227" s="20" t="str">
        <f>IF(C217="tak","W szatni / przebieralni są miejsce siedzące.","")</f>
        <v>W szatni / przebieralni są miejsce siedzące.</v>
      </c>
      <c r="C227" s="21" t="s">
        <v>8</v>
      </c>
      <c r="D227" s="22" t="str">
        <f>IF(AND(C217="tak",C227="nie"),"Przejdź do pytania 156.","")</f>
        <v/>
      </c>
      <c r="E227" s="22" t="str">
        <f>IF(AND(C217="tak",C227="nie"),"Sprawdź, czy w szatni/przebieralni zmieszczą się miejsca siedzące – kanapa, krzesła lub ławka. Jeśli tak, wstaw je – postaraj się, żeby ok. 1/3 wszystkim miejsc siedzących miała podłokietniki i oparcie.","")</f>
        <v/>
      </c>
    </row>
    <row r="228" spans="1:29" ht="49.9" customHeight="1" x14ac:dyDescent="0.25">
      <c r="A228" s="19" t="str">
        <f>IF(AND(C217="tak",C227="tak"),"155.","")</f>
        <v>155.</v>
      </c>
      <c r="B228" s="20" t="str">
        <f>IF(AND(C217="tak",C227="tak"),"Przynajmniej 1/3 miejsc siedzących ma oparcie i podłokietniki.","")</f>
        <v>Przynajmniej 1/3 miejsc siedzących ma oparcie i podłokietniki.</v>
      </c>
      <c r="C228" s="21" t="s">
        <v>9</v>
      </c>
      <c r="D228" s="22" t="str">
        <f>IF(AND(C217="tak",C227="tak",C228="nie"),"Wymień część miejsc siedzących lub dostaw kolejne – postaraj się, żeby ok. 1/3 wszystkim miejsc siedzących miała podłokietniki i oparcie.","")</f>
        <v>Wymień część miejsc siedzących lub dostaw kolejne – postaraj się, żeby ok. 1/3 wszystkim miejsc siedzących miała podłokietniki i oparcie.</v>
      </c>
      <c r="E228" s="22"/>
    </row>
    <row r="229" spans="1:29" ht="31.5" x14ac:dyDescent="0.25">
      <c r="A229" s="19" t="str">
        <f>IF(C217="tak","156.","")</f>
        <v>156.</v>
      </c>
      <c r="B229" s="20" t="str">
        <f>IF(C217="tak","W szatni/przebieralni są wydzielone kabiny do przebierania się.","")</f>
        <v>W szatni/przebieralni są wydzielone kabiny do przebierania się.</v>
      </c>
      <c r="C229" s="21" t="s">
        <v>8</v>
      </c>
      <c r="D229" s="22" t="str">
        <f>IF(AND(C217="tak",C229="nie"),"Przejdź do kolejnej części (pytanie 158).","")</f>
        <v/>
      </c>
      <c r="E229" s="22"/>
    </row>
    <row r="230" spans="1:29" ht="51" customHeight="1" x14ac:dyDescent="0.25">
      <c r="A230" s="19" t="str">
        <f>IF(AND(C217="tak",C229="tak"),"157.","")</f>
        <v>157.</v>
      </c>
      <c r="B230" s="20" t="str">
        <f>IF(AND(C217="tak",C229="tak"),"Przynajmniej w jednej kabinie przebieralni jest miejsce do manewrowania wózkiem – przestrzeń o wymiarach co najmniej 1,5 x 1,5 m.","")</f>
        <v>Przynajmniej w jednej kabinie przebieralni jest miejsce do manewrowania wózkiem – przestrzeń o wymiarach co najmniej 1,5 x 1,5 m.</v>
      </c>
      <c r="C230" s="21" t="s">
        <v>9</v>
      </c>
      <c r="D230" s="22" t="str">
        <f>IF(AND(C217="tak",C229="tak",C230="nie"),"W opisie dostępności budynku podaj informację o wielkości największej kabiny przebieralni – dodaj fotografię jej wnętrza.","")</f>
        <v>W opisie dostępności budynku podaj informację o wielkości największej kabiny przebieralni – dodaj fotografię jej wnętrza.</v>
      </c>
      <c r="E230" s="22" t="str">
        <f>IF(AND(C217="tak",C229="tak",C230="nie"),"Zaplanuj jedną większą przebieralnię dla osób potrzebujących przestrzeni manewrowej.","")</f>
        <v>Zaplanuj jedną większą przebieralnię dla osób potrzebujących przestrzeni manewrowej.</v>
      </c>
    </row>
    <row r="232" spans="1:29" ht="21" x14ac:dyDescent="0.25">
      <c r="A232" s="30" t="s">
        <v>279</v>
      </c>
      <c r="B232" s="30"/>
      <c r="C232" s="30"/>
      <c r="D232" s="30"/>
      <c r="E232" s="30"/>
    </row>
    <row r="233" spans="1:29" x14ac:dyDescent="0.25">
      <c r="B233" s="5"/>
      <c r="D233" s="8"/>
    </row>
    <row r="234" spans="1:29" x14ac:dyDescent="0.25">
      <c r="A234" s="16"/>
      <c r="B234" s="17" t="s">
        <v>5</v>
      </c>
      <c r="C234" s="18" t="s">
        <v>6</v>
      </c>
      <c r="D234" s="17" t="s">
        <v>26</v>
      </c>
      <c r="E234" s="17" t="s">
        <v>27</v>
      </c>
    </row>
    <row r="235" spans="1:29" ht="113.45" customHeight="1" x14ac:dyDescent="0.25">
      <c r="A235" s="19" t="s">
        <v>281</v>
      </c>
      <c r="B235" s="20" t="s">
        <v>291</v>
      </c>
      <c r="C235" s="21" t="s">
        <v>9</v>
      </c>
      <c r="D235" s="22" t="str">
        <f>IF(C235="nie",AC235,"")</f>
        <v xml:space="preserve">Jeśli wejście do pomieszczenia zawężają meble lub elementy wyposażenia, usuń je. Jeśli przestrzeń przed wejściem jest mniejsza z uwagi na układ elementów stałych (np. ścian), w opisie dostępności budynku podaj informację o tym, jak wyglądają wejścia do poszczególnych pomieszczeń i ile jest miejsca na manewrowanie wózkiem. </v>
      </c>
      <c r="E235" s="22" t="str">
        <f>IF(C235="nie","Sprawdź, czy możliwa jest przebudowa korytarzy lub pomieszczeń w taki sposób, żeby przed drzwiami była odpowiednia przestrzeń do manewrowania wózkiem (co najmniej 1,5 x 1,5 m). Jeśli tak, zaplanuj takie prace.","")</f>
        <v>Sprawdź, czy możliwa jest przebudowa korytarzy lub pomieszczeń w taki sposób, żeby przed drzwiami była odpowiednia przestrzeń do manewrowania wózkiem (co najmniej 1,5 x 1,5 m). Jeśli tak, zaplanuj takie prace.</v>
      </c>
      <c r="AC235" s="6" t="s">
        <v>292</v>
      </c>
    </row>
    <row r="236" spans="1:29" ht="31.5" x14ac:dyDescent="0.25">
      <c r="A236" s="19" t="s">
        <v>282</v>
      </c>
      <c r="B236" s="20" t="s">
        <v>293</v>
      </c>
      <c r="C236" s="21" t="s">
        <v>9</v>
      </c>
      <c r="D236" s="22" t="str">
        <f>IF(C236="nie","W opisie dostępności budynku podaj informację o szerokości drzwi do pomieszczeń.","")</f>
        <v>W opisie dostępności budynku podaj informację o szerokości drzwi do pomieszczeń.</v>
      </c>
      <c r="E236" s="22" t="str">
        <f>IF(C236="nie","Sprawdź, czy możliwe jest poszerzenie wejść. Jeśli tak, zaplanuj takie prace.","")</f>
        <v>Sprawdź, czy możliwe jest poszerzenie wejść. Jeśli tak, zaplanuj takie prace.</v>
      </c>
    </row>
    <row r="237" spans="1:29" ht="51" customHeight="1" x14ac:dyDescent="0.25">
      <c r="A237" s="19" t="s">
        <v>283</v>
      </c>
      <c r="B237" s="20" t="s">
        <v>294</v>
      </c>
      <c r="C237" s="21" t="s">
        <v>9</v>
      </c>
      <c r="D237" s="22" t="str">
        <f>IF(C237="nie","W opisie dostępności budynku podaj informację o wysokości progów.","")</f>
        <v>W opisie dostępności budynku podaj informację o wysokości progów.</v>
      </c>
      <c r="E237" s="22" t="str">
        <f>IF(C237="nie","Sprawdź, czy możliwe jest ich zmniejszenie jego całkowite zniwelowanie. Jeśli tak, zaplanuj takie prace.","")</f>
        <v>Sprawdź, czy możliwe jest ich zmniejszenie jego całkowite zniwelowanie. Jeśli tak, zaplanuj takie prace.</v>
      </c>
    </row>
    <row r="238" spans="1:29" ht="47.25" x14ac:dyDescent="0.25">
      <c r="A238" s="19" t="s">
        <v>284</v>
      </c>
      <c r="B238" s="20" t="s">
        <v>295</v>
      </c>
      <c r="C238" s="21" t="s">
        <v>9</v>
      </c>
      <c r="D238" s="22" t="str">
        <f>IF(C238="nie","Oznacz drzwi do pomieszczeń kontrastowymi pasami wokół framugi – pasy powinny być łatwe do zauważenia i mieć szerokość 7-10 cm.","")</f>
        <v>Oznacz drzwi do pomieszczeń kontrastowymi pasami wokół framugi – pasy powinny być łatwe do zauważenia i mieć szerokość 7-10 cm.</v>
      </c>
      <c r="E238" s="22"/>
    </row>
    <row r="239" spans="1:29" ht="63" x14ac:dyDescent="0.25">
      <c r="A239" s="19" t="s">
        <v>285</v>
      </c>
      <c r="B239" s="20" t="s">
        <v>182</v>
      </c>
      <c r="C239" s="21" t="s">
        <v>9</v>
      </c>
      <c r="D239" s="22" t="str">
        <f>IF(C239="nie","Na przeszkleniach przyklej pasy o szerokości co najmniej 10 cm, pierwszy na wysokości w przedziale 0,9-1 m, drugi na wysokości w przedziale 1,3-1,4 m.","")</f>
        <v>Na przeszkleniach przyklej pasy o szerokości co najmniej 10 cm, pierwszy na wysokości w przedziale 0,9-1 m, drugi na wysokości w przedziale 1,3-1,4 m.</v>
      </c>
      <c r="E239" s="22"/>
    </row>
    <row r="240" spans="1:29" ht="53.45" customHeight="1" x14ac:dyDescent="0.25">
      <c r="A240" s="19" t="s">
        <v>286</v>
      </c>
      <c r="B240" s="20" t="s">
        <v>296</v>
      </c>
      <c r="C240" s="21" t="s">
        <v>9</v>
      </c>
      <c r="D240" s="22" t="str">
        <f>IF(C240="nie","W opisie dostępności budynku podaj informację o tym, po której stronie drzwi (lewej czy prawej) znajdują się klamki – zwykle ich układ jest podobny. ","")</f>
        <v xml:space="preserve">W opisie dostępności budynku podaj informację o tym, po której stronie drzwi (lewej czy prawej) znajdują się klamki – zwykle ich układ jest podobny. </v>
      </c>
      <c r="E240" s="22" t="str">
        <f>IF(C240="nie","Wymień klamki na bardziej skontrastowane w stosunku do barwy drzwi (ciemne w jasnych drzwiach, jasne w ciemnych drzwiach).","")</f>
        <v>Wymień klamki na bardziej skontrastowane w stosunku do barwy drzwi (ciemne w jasnych drzwiach, jasne w ciemnych drzwiach).</v>
      </c>
    </row>
    <row r="241" spans="1:29" ht="114" customHeight="1" x14ac:dyDescent="0.25">
      <c r="A241" s="19" t="s">
        <v>287</v>
      </c>
      <c r="B241" s="20" t="s">
        <v>297</v>
      </c>
      <c r="C241" s="21" t="s">
        <v>9</v>
      </c>
      <c r="D241" s="22" t="str">
        <f>IF(C241="nie",AC241,"")</f>
        <v xml:space="preserve">Jeśli przestrzeń w pomieszczeniu zmniejszają meble lub elementy wyposażenia, usuń je. Jeśli pomieszczenie jest mniejsze z uwagi na układ elementów stałych (np. ścian), w opisie dostępności budynku podaj informację o tym, jak wyglądają te pomieszczenia i ile jest w nich miejsca na manewrowanie wózkiem. </v>
      </c>
      <c r="E241" s="22" t="str">
        <f>IF(C241="nie","Sprawdź, czy możliwa jest przebudowa przynajmniej części pomieszczeń dla klientów/gości w taki sposób, żeby wewnątrz nich była odpowiednia przestrzeń do manewrowania wózkiem (co najmniej 1,5 x 1,5 m). Jeśli tak, zaplanuj takie prace.","")</f>
        <v>Sprawdź, czy możliwa jest przebudowa przynajmniej części pomieszczeń dla klientów/gości w taki sposób, żeby wewnątrz nich była odpowiednia przestrzeń do manewrowania wózkiem (co najmniej 1,5 x 1,5 m). Jeśli tak, zaplanuj takie prace.</v>
      </c>
      <c r="AC241" s="10" t="s">
        <v>298</v>
      </c>
    </row>
    <row r="242" spans="1:29" ht="49.15" customHeight="1" x14ac:dyDescent="0.25">
      <c r="A242" s="19" t="s">
        <v>288</v>
      </c>
      <c r="B242" s="20" t="s">
        <v>299</v>
      </c>
      <c r="C242" s="21" t="s">
        <v>9</v>
      </c>
      <c r="D242" s="22" t="str">
        <f>IF(C242="nie","W opisie dostępności budynku podaj informację o wysokości, na jakiej znajdują się włączniki światła.","")</f>
        <v>W opisie dostępności budynku podaj informację o wysokości, na jakiej znajdują się włączniki światła.</v>
      </c>
      <c r="E242" s="22" t="str">
        <f>IF(C242="nie","Podczas planowania prac remontowych w pomieszczeniach dla klientów/gości pamiętaj o obniżeniu wysokości montażu włączników światła.","")</f>
        <v>Podczas planowania prac remontowych w pomieszczeniach dla klientów/gości pamiętaj o obniżeniu wysokości montażu włączników światła.</v>
      </c>
    </row>
    <row r="243" spans="1:29" ht="96" customHeight="1" x14ac:dyDescent="0.25">
      <c r="A243" s="19" t="s">
        <v>289</v>
      </c>
      <c r="B243" s="20" t="s">
        <v>300</v>
      </c>
      <c r="C243" s="21" t="s">
        <v>9</v>
      </c>
      <c r="D243" s="22" t="str">
        <f>IF(C243="nie",AC243,"")</f>
        <v xml:space="preserve">Skontrastuj włączniki w stosunku do barwy ścian – możesz albo wymienić włączniki na nowe, o innej barwie, albo kupić podkładki montowane na ścianie pod włącznikiem (w kontrastowym kolorze), albo przemalować fragment ściany wokół włącznika na kontrastowy kolor. </v>
      </c>
      <c r="E243" s="22"/>
      <c r="AC243" s="10" t="s">
        <v>301</v>
      </c>
    </row>
    <row r="245" spans="1:29" ht="21" x14ac:dyDescent="0.25">
      <c r="A245" s="30" t="s">
        <v>302</v>
      </c>
      <c r="B245" s="30"/>
      <c r="C245" s="30"/>
      <c r="D245" s="30"/>
      <c r="E245" s="30"/>
    </row>
    <row r="246" spans="1:29" x14ac:dyDescent="0.25">
      <c r="B246" s="5"/>
      <c r="D246" s="8"/>
    </row>
    <row r="247" spans="1:29" x14ac:dyDescent="0.25">
      <c r="A247" s="16"/>
      <c r="B247" s="17" t="s">
        <v>5</v>
      </c>
      <c r="C247" s="18" t="s">
        <v>6</v>
      </c>
      <c r="D247" s="17" t="s">
        <v>26</v>
      </c>
      <c r="E247" s="17" t="s">
        <v>27</v>
      </c>
    </row>
    <row r="248" spans="1:29" ht="156.6" customHeight="1" x14ac:dyDescent="0.25">
      <c r="A248" s="26" t="s">
        <v>290</v>
      </c>
      <c r="B248" s="27" t="s">
        <v>303</v>
      </c>
      <c r="C248" s="28" t="s">
        <v>8</v>
      </c>
      <c r="D248" s="22" t="str">
        <f>IF(C248="nie","W opisie dostępności budynku podaj informację o tym, że w budynku nie ma toalety dla osób z niepełnosprawnościami.","")</f>
        <v/>
      </c>
      <c r="E248" s="22" t="str">
        <f>IF(C248="nie",AC248,"")</f>
        <v/>
      </c>
      <c r="AC248" s="6" t="s">
        <v>304</v>
      </c>
    </row>
    <row r="249" spans="1:29" x14ac:dyDescent="0.25">
      <c r="A249" s="26"/>
      <c r="B249" s="27"/>
      <c r="C249" s="28"/>
      <c r="D249" s="29" t="str">
        <f>IF(C248="nie","Przejdź do kolejnej części (pytanie 189).","")</f>
        <v/>
      </c>
      <c r="E249" s="29"/>
    </row>
    <row r="250" spans="1:29" ht="82.9" customHeight="1" x14ac:dyDescent="0.25">
      <c r="A250" s="19" t="str">
        <f>IF(C248="tak","168.","")</f>
        <v>168.</v>
      </c>
      <c r="B250" s="20" t="str">
        <f>IF(C248="tak","Toaleta jest oznaczona piktogramem.","")</f>
        <v>Toaleta jest oznaczona piktogramem.</v>
      </c>
      <c r="C250" s="21" t="s">
        <v>9</v>
      </c>
      <c r="D250" s="22" t="str">
        <f>IF(AND(C248="tak",C250="nie"),"Oznacz toaletę dla osób z niepełnosprawnościami odpowiednim piktogramem. Oznaczenie powinno być duże (ok. 15 x 15 cm) i skontrastowane. Nie używaj oznaczeń, które odbijają światło (laminowanych, ze błyszczącego metalu).","")</f>
        <v>Oznacz toaletę dla osób z niepełnosprawnościami odpowiednim piktogramem. Oznaczenie powinno być duże (ok. 15 x 15 cm) i skontrastowane. Nie używaj oznaczeń, które odbijają światło (laminowanych, ze błyszczącego metalu).</v>
      </c>
      <c r="E250" s="22"/>
    </row>
    <row r="251" spans="1:29" ht="35.450000000000003" customHeight="1" x14ac:dyDescent="0.25">
      <c r="A251" s="19" t="str">
        <f>IF(C248="tak","169.","")</f>
        <v>169.</v>
      </c>
      <c r="B251" s="20" t="str">
        <f>IF(C248="tak","Drzwi do toalety mają szerokość co najmniej 90 cm.","")</f>
        <v>Drzwi do toalety mają szerokość co najmniej 90 cm.</v>
      </c>
      <c r="C251" s="21" t="s">
        <v>9</v>
      </c>
      <c r="D251" s="22" t="str">
        <f>IF(AND(C248="tak",C251="nie"),"W opisie dostępności budynku podaj informację o szerokości drzwi do toalety.","")</f>
        <v>W opisie dostępności budynku podaj informację o szerokości drzwi do toalety.</v>
      </c>
      <c r="E251" s="22" t="str">
        <f>IF(AND(C248="tak",C251="nie"),"Koniecznie poszerz wejście do toalety dla osób z niepełnosprawnościami.","")</f>
        <v>Koniecznie poszerz wejście do toalety dla osób z niepełnosprawnościami.</v>
      </c>
    </row>
    <row r="252" spans="1:29" ht="49.9" customHeight="1" x14ac:dyDescent="0.25">
      <c r="A252" s="19" t="str">
        <f>IF(C248="tak","170.","")</f>
        <v>170.</v>
      </c>
      <c r="B252" s="20" t="str">
        <f>IF(C248="tak","Próg w drzwiach do toalety ma wysokość do 2 cm.","")</f>
        <v>Próg w drzwiach do toalety ma wysokość do 2 cm.</v>
      </c>
      <c r="C252" s="21" t="s">
        <v>9</v>
      </c>
      <c r="D252" s="22" t="str">
        <f>IF(AND(C248="tak",C252="nie"),"W opisie dostępności budynku podaj informację o wysokości progu w toalecie dla osób z niepełnosprawnościami.","")</f>
        <v>W opisie dostępności budynku podaj informację o wysokości progu w toalecie dla osób z niepełnosprawnościami.</v>
      </c>
      <c r="E252" s="22" t="str">
        <f>IF(AND(C248="tak",C252="nie"),"Koniecznie zmniejsz wysokość progu (najlepiej całkiem go usuń).","")</f>
        <v>Koniecznie zmniejsz wysokość progu (najlepiej całkiem go usuń).</v>
      </c>
    </row>
    <row r="253" spans="1:29" ht="51" customHeight="1" x14ac:dyDescent="0.25">
      <c r="A253" s="19" t="str">
        <f>IF(C248="tak","171.","")</f>
        <v>171.</v>
      </c>
      <c r="B253" s="20" t="str">
        <f>IF(C248="tak","Otwarcie drzwi nie wymaga użycia dużej siły.","")</f>
        <v>Otwarcie drzwi nie wymaga użycia dużej siły.</v>
      </c>
      <c r="C253" s="21" t="s">
        <v>9</v>
      </c>
      <c r="D253" s="22" t="str">
        <f>IF(AND(C248="tak",C253="nie"),"W opisie dostępności budynku podaj informację o tym, że otwarcie drzwi do toalety wymaga znacznej siły.","")</f>
        <v>W opisie dostępności budynku podaj informację o tym, że otwarcie drzwi do toalety wymaga znacznej siły.</v>
      </c>
      <c r="E253" s="22" t="str">
        <f>IF(AND(C248="tak",C253="nie"),"Koniecznie ułatw otwieranie drzwi: możesz albo montować system wspomagania otwierania albo wymienić drzwi na lżejsze / łatwiejsze do otwierania.","")</f>
        <v>Koniecznie ułatw otwieranie drzwi: możesz albo montować system wspomagania otwierania albo wymienić drzwi na lżejsze / łatwiejsze do otwierania.</v>
      </c>
    </row>
    <row r="254" spans="1:29" ht="46.9" customHeight="1" x14ac:dyDescent="0.25">
      <c r="A254" s="19" t="str">
        <f>IF(C248="tak","172.","")</f>
        <v>172.</v>
      </c>
      <c r="B254" s="20" t="str">
        <f>IF(C248="tak","Klamka i zamknięcie drzwi są skontrastowane w stosunku do barwy drzwi.","")</f>
        <v>Klamka i zamknięcie drzwi są skontrastowane w stosunku do barwy drzwi.</v>
      </c>
      <c r="C254" s="21" t="s">
        <v>9</v>
      </c>
      <c r="D254" s="22" t="str">
        <f>IF(AND(C248="tak",C254="nie"),"W opisie dostępności budynku podaj informację o tym, po której stronie drzwi (lewej czy prawej) jest klamka.","")</f>
        <v>W opisie dostępności budynku podaj informację o tym, po której stronie drzwi (lewej czy prawej) jest klamka.</v>
      </c>
      <c r="E254" s="22" t="str">
        <f>IF(AND(C248="tak",C254="nie"),"Wymień klamkę na bardziej skontrastowaną w stosunku do barwy drzwi (ciemną w jasnych drzwiach, jasną w ciemnych drzwiach).","")</f>
        <v>Wymień klamkę na bardziej skontrastowaną w stosunku do barwy drzwi (ciemną w jasnych drzwiach, jasną w ciemnych drzwiach).</v>
      </c>
    </row>
    <row r="255" spans="1:29" ht="125.45" customHeight="1" x14ac:dyDescent="0.25">
      <c r="A255" s="19" t="str">
        <f>IF(C248="tak","173.","")</f>
        <v>173.</v>
      </c>
      <c r="B255" s="20" t="str">
        <f>IF(C248="tak","W toalecie jest przestrzeń do manewrowania wózkiem – co najmniej 1,5 x 1,5 m.","")</f>
        <v>W toalecie jest przestrzeń do manewrowania wózkiem – co najmniej 1,5 x 1,5 m.</v>
      </c>
      <c r="C255" s="21" t="s">
        <v>9</v>
      </c>
      <c r="D255" s="22" t="str">
        <f>IF(AND(C248="tak",C255="nie"),"W opisie dostępności budynku podaj informację o wielkości przestrzeni manewrowej w toalecie – dodaj fotografię.","")</f>
        <v>W opisie dostępności budynku podaj informację o wielkości przestrzeni manewrowej w toalecie – dodaj fotografię.</v>
      </c>
      <c r="E255" s="22" t="str">
        <f>IF(AND(C248="tak",C255="nie"),AC255,"")</f>
        <v>Sprawdź, czy możliwa jest albo przebudowa istniejących toalet albo wyznaczenie nowej toalety o odpowiednich wymiarach. Jeśli tak, zaplanuj takie prace. Pamiętaj o rozplanowaniu układu toalety w taki sposób, by możliwe było  manewrowanie wózkiem (przestrzeń 1,5 x 1,5 m) i przesiadanie się na miskę ustępową (przestrzeń obok niej o szerokości co najmniej 90 cm).</v>
      </c>
      <c r="AC255" s="15" t="s">
        <v>305</v>
      </c>
    </row>
    <row r="256" spans="1:29" ht="124.9" customHeight="1" x14ac:dyDescent="0.25">
      <c r="A256" s="19" t="str">
        <f>IF(C248="tak","174.","")</f>
        <v>174.</v>
      </c>
      <c r="B256" s="20" t="str">
        <f>IF(C248="tak","Co najmniej z jednej strony miski ustępowej jest miejsce do przesiadania się o szerokości nie mniejszej niż 90 cm.","")</f>
        <v>Co najmniej z jednej strony miski ustępowej jest miejsce do przesiadania się o szerokości nie mniejszej niż 90 cm.</v>
      </c>
      <c r="C256" s="21" t="s">
        <v>9</v>
      </c>
      <c r="D256" s="22" t="str">
        <f>IF(AND(C248="tak",C256="nie"),"W opisie dostępności budynku podaj informację o wielkości przestrzeni transferu na miskę ustępową – dodaj fotografię.","")</f>
        <v>W opisie dostępności budynku podaj informację o wielkości przestrzeni transferu na miskę ustępową – dodaj fotografię.</v>
      </c>
      <c r="E256" s="22" t="str">
        <f>IF(AND(C248="tak",C256="nie"),AC256,"")</f>
        <v>Sprawdź, czy możliwa jest albo przebudowa istniejących toalet albo wyznaczenie nowej toalety o odpowiednich wymiarach. Jeśli tak, zaplanuj takie prace. Pamiętaj o rozplanowaniu układu toalety w taki sposób, by możliwe było  manewrowanie wózkiem (przestrzeń 1,5 x 1,5 m) i przesiadanie się na miskę ustępową (przestrzeń obok niej o szerokości co najmniej 90 cm).</v>
      </c>
      <c r="AC256" s="6" t="s">
        <v>305</v>
      </c>
    </row>
    <row r="257" spans="1:29" ht="113.45" customHeight="1" x14ac:dyDescent="0.25">
      <c r="A257" s="19" t="str">
        <f>IF(C248="tak","175.","")</f>
        <v>175.</v>
      </c>
      <c r="B257" s="20" t="str">
        <f>IF(C248="tak","Po obu stronach miski ustępowej są pochwyty.","")</f>
        <v>Po obu stronach miski ustępowej są pochwyty.</v>
      </c>
      <c r="C257" s="21" t="s">
        <v>9</v>
      </c>
      <c r="D257" s="22" t="str">
        <f>IF(AND(C248="tak",C257="nie"),"W opisie dostępności budynku podaj informację o ilości pochwytów w toalecie – dodaj fotografię, na której będzie widać, po której stronie miski się znajdują.","")</f>
        <v>W opisie dostępności budynku podaj informację o ilości pochwytów w toalecie – dodaj fotografię, na której będzie widać, po której stronie miski się znajdują.</v>
      </c>
      <c r="E257" s="22" t="str">
        <f>IF(AND(C248="tak",C257="nie"),AC257,"")</f>
        <v>Koniecznie zamontuj pochwyty po lewej i prawej stronie miski ustępowej. Sprawdź, czy możliwe i bezpieczne jest montowanie ich do ściany (jeśli to np. ściana wykończona zabudową z płyt gipsowo-kartonowych bez dodatkowego wzmocnienia, montaż może nie być możliwy), jeśli nie – wybierz pochwyty montowane do podłogi.</v>
      </c>
      <c r="AC257" s="10" t="s">
        <v>306</v>
      </c>
    </row>
    <row r="258" spans="1:29" ht="48" customHeight="1" x14ac:dyDescent="0.25">
      <c r="A258" s="19" t="str">
        <f>IF(C248="tak","176.","")</f>
        <v>176.</v>
      </c>
      <c r="B258" s="20" t="str">
        <f>IF(C248="tak","Siedzisko miski ustępowej jest na wysokości 45-50 cm.","")</f>
        <v>Siedzisko miski ustępowej jest na wysokości 45-50 cm.</v>
      </c>
      <c r="C258" s="21" t="s">
        <v>9</v>
      </c>
      <c r="D258" s="22" t="str">
        <f>IF(AND(C248="tak",C258="nie"),"W opisie dostępności budynku podaj informację o wysokości siedziska miski ustępowej – dodaj fotografię.","")</f>
        <v>W opisie dostępności budynku podaj informację o wysokości siedziska miski ustępowej – dodaj fotografię.</v>
      </c>
      <c r="E258" s="22" t="str">
        <f>IF(AND(C248="tak",C258="nie"),"Podczas najbliższego remontu toalety zadbaj o montaż miski ustępowej na wysokości 45-50 cm powyżej podłogi.","")</f>
        <v>Podczas najbliższego remontu toalety zadbaj o montaż miski ustępowej na wysokości 45-50 cm powyżej podłogi.</v>
      </c>
    </row>
    <row r="259" spans="1:29" ht="33.6" customHeight="1" x14ac:dyDescent="0.25">
      <c r="A259" s="19" t="str">
        <f>IF(C248="tak","177.","")</f>
        <v>177.</v>
      </c>
      <c r="B259" s="20" t="str">
        <f>IF(C248="tak","Miska ustępowa jest dłuższa niż standardowa (ma 70 cm długości).","")</f>
        <v>Miska ustępowa jest dłuższa niż standardowa (ma 70 cm długości).</v>
      </c>
      <c r="C259" s="21" t="s">
        <v>9</v>
      </c>
      <c r="D259" s="22" t="str">
        <f>IF(AND(C248="tak",C259="nie"),"W opisie dostępności budynku podaj informację o długości miski ustępowej – dodaj fotografię.","")</f>
        <v>W opisie dostępności budynku podaj informację o długości miski ustępowej – dodaj fotografię.</v>
      </c>
      <c r="E259" s="22" t="str">
        <f>IF(AND(C248="tak",C259="nie"),"Podczas najbliższego remontu toalety zadbaj o montaż miski ustępowej o odpowiedniej długości.","")</f>
        <v>Podczas najbliższego remontu toalety zadbaj o montaż miski ustępowej o odpowiedniej długości.</v>
      </c>
    </row>
    <row r="260" spans="1:29" ht="110.25" x14ac:dyDescent="0.25">
      <c r="A260" s="19" t="str">
        <f>IF(C248="tak","178.","")</f>
        <v>178.</v>
      </c>
      <c r="B260" s="20" t="str">
        <f>IF(C248="tak","Po obu stronach umywalki są pochwyty.","")</f>
        <v>Po obu stronach umywalki są pochwyty.</v>
      </c>
      <c r="C260" s="21" t="s">
        <v>9</v>
      </c>
      <c r="D260" s="22" t="str">
        <f>IF(AND(C248="tak",C260="nie"),"W opisie dostępności budynku podaj informację o ilości pochwytów w toalecie – dodaj fotografię, na której będzie widać, po której stronie umywalki się znajdują.","")</f>
        <v>W opisie dostępności budynku podaj informację o ilości pochwytów w toalecie – dodaj fotografię, na której będzie widać, po której stronie umywalki się znajdują.</v>
      </c>
      <c r="E260" s="22" t="str">
        <f>IF(AND(C248="tak",C260="nie"),AC260,"")</f>
        <v>Koniecznie zamontuj pochwyty po lewej i prawej stronie umywalki. Sprawdź, czy możliwe i bezpieczne jest montowanie ich do ściany (jeśli to np. ściana wykończona zabudową z płyt gipsowo-kartonowych bez dodatkowego wzmocnienia, montaż może nie być możliwy), jeśli nie – wybierz pochwyty montowane do podłogi.</v>
      </c>
      <c r="AC260" s="6" t="s">
        <v>307</v>
      </c>
    </row>
    <row r="261" spans="1:29" ht="49.15" customHeight="1" x14ac:dyDescent="0.25">
      <c r="A261" s="19" t="str">
        <f>IF(C248="tak","179.","")</f>
        <v>179.</v>
      </c>
      <c r="B261" s="20" t="str">
        <f>IF(C248="tak","Pod umywalką zapewniona jest przestrzeń o wysokości co najmniej 70 cm (na nogi osoby na wózku).","")</f>
        <v>Pod umywalką zapewniona jest przestrzeń o wysokości co najmniej 70 cm (na nogi osoby na wózku).</v>
      </c>
      <c r="C261" s="21" t="s">
        <v>9</v>
      </c>
      <c r="D261" s="22" t="str">
        <f>IF(AND(C248="tak",C261="nie"),"W opisie dostępności budynku podaj informację o wysokości wolnej przestrzeni pod umywalką – dodaj fotografię.","")</f>
        <v>W opisie dostępności budynku podaj informację o wysokości wolnej przestrzeni pod umywalką – dodaj fotografię.</v>
      </c>
      <c r="E261" s="22" t="str">
        <f>IF(AND(C248="tak",C261="nie"),"Podczas najbliższego remontu toalety zadbaj o montaż umywalki niskosyfonowej na odpowiedniej wysokości (czyli z przestrzenią na nogi pod nią).","")</f>
        <v>Podczas najbliższego remontu toalety zadbaj o montaż umywalki niskosyfonowej na odpowiedniej wysokości (czyli z przestrzenią na nogi pod nią).</v>
      </c>
    </row>
    <row r="262" spans="1:29" ht="47.45" customHeight="1" x14ac:dyDescent="0.25">
      <c r="A262" s="19" t="str">
        <f>IF(C248="tak","180.","")</f>
        <v>180.</v>
      </c>
      <c r="B262" s="20" t="str">
        <f>IF(C248="tak","Bateria umywalkowa jest automatyczna lub z przedłużonym uchwytem.","")</f>
        <v>Bateria umywalkowa jest automatyczna lub z przedłużonym uchwytem.</v>
      </c>
      <c r="C262" s="21" t="s">
        <v>9</v>
      </c>
      <c r="D262" s="22" t="str">
        <f>IF(AND(C248="tak",C262="nie"),"W opisie dostępności dodaj fotografię baterii umywalkowej.","")</f>
        <v>W opisie dostępności dodaj fotografię baterii umywalkowej.</v>
      </c>
      <c r="E262" s="22" t="str">
        <f>IF(AND(C248="tak",C262="nie"),"Wymień baterię na nową, automatyczną lub z przedłużonym uchwytem (najlepsza jest tzw. bateria chirurgiczna).","")</f>
        <v>Wymień baterię na nową, automatyczną lub z przedłużonym uchwytem (najlepsza jest tzw. bateria chirurgiczna).</v>
      </c>
    </row>
    <row r="263" spans="1:29" ht="46.9" customHeight="1" x14ac:dyDescent="0.25">
      <c r="A263" s="19" t="str">
        <f>IF(C248="tak","181.","")</f>
        <v>181.</v>
      </c>
      <c r="B263" s="20" t="str">
        <f>IF(C248="tak","Bateria umywalkowa ma przedłużoną wylewkę.","")</f>
        <v>Bateria umywalkowa ma przedłużoną wylewkę.</v>
      </c>
      <c r="C263" s="21" t="s">
        <v>9</v>
      </c>
      <c r="D263" s="22" t="str">
        <f>IF(AND(C248="tak",C263="nie"),"W opisie dostępności dodaj fotografię baterii umywalkowej.","")</f>
        <v>W opisie dostępności dodaj fotografię baterii umywalkowej.</v>
      </c>
      <c r="E263" s="22" t="str">
        <f>IF(AND(C248="tak",C263="nie"),"Wymień baterię na nową, o przedłużonej wylewce. Wylewka powinna kończyć się w odległości mniejszej niż 30 cm od krawędzi umywalki.","")</f>
        <v>Wymień baterię na nową, o przedłużonej wylewce. Wylewka powinna kończyć się w odległości mniejszej niż 30 cm od krawędzi umywalki.</v>
      </c>
    </row>
    <row r="264" spans="1:29" ht="47.25" x14ac:dyDescent="0.25">
      <c r="A264" s="19" t="str">
        <f>IF(C248="tak","182.","")</f>
        <v>182.</v>
      </c>
      <c r="B264" s="20" t="str">
        <f>IF(C248="tak","Wszystkie podajniki (papier toaletowy, mydło, ręczniki, suszarka do rąk) są na wysokości 0,8-1,1 m od podłogi.","")</f>
        <v>Wszystkie podajniki (papier toaletowy, mydło, ręczniki, suszarka do rąk) są na wysokości 0,8-1,1 m od podłogi.</v>
      </c>
      <c r="C264" s="21" t="s">
        <v>9</v>
      </c>
      <c r="D264" s="22" t="str">
        <f>IF(AND(C248="tak",C264="nie"),"Przenieś podajniki i zamontuj je na odpowiedniej wysokości – w przedziale 0,8-1,1 m powyżej podłogi.","")</f>
        <v>Przenieś podajniki i zamontuj je na odpowiedniej wysokości – w przedziale 0,8-1,1 m powyżej podłogi.</v>
      </c>
      <c r="E264" s="22"/>
    </row>
    <row r="265" spans="1:29" ht="47.25" x14ac:dyDescent="0.25">
      <c r="A265" s="19" t="str">
        <f>IF(C248="tak","183.","")</f>
        <v>183.</v>
      </c>
      <c r="B265" s="20" t="str">
        <f>IF(C248="tak","Włącznik światła w toalecie jest na wysokości 0,8-1,1 m albo światło uruchamia się automatycznie.","")</f>
        <v>Włącznik światła w toalecie jest na wysokości 0,8-1,1 m albo światło uruchamia się automatycznie.</v>
      </c>
      <c r="C265" s="21" t="s">
        <v>9</v>
      </c>
      <c r="D265" s="22" t="str">
        <f>IF(AND(C248="tak",C265="nie"),"W opisie dostępności budynku podaj informację o wysokości, na jakiej znajduje się włączniki światła.","")</f>
        <v>W opisie dostępności budynku podaj informację o wysokości, na jakiej znajduje się włączniki światła.</v>
      </c>
      <c r="E265" s="22" t="str">
        <f>IF(AND(C248="tak",C265="nie"),"Podczas najbliższego remontu w toalecie pamiętaj o odpowiednim montażu włącznika światła.","")</f>
        <v>Podczas najbliższego remontu w toalecie pamiętaj o odpowiednim montażu włącznika światła.</v>
      </c>
    </row>
    <row r="266" spans="1:29" ht="67.900000000000006" customHeight="1" x14ac:dyDescent="0.25">
      <c r="A266" s="19" t="str">
        <f>IF(C248="tak","184.","")</f>
        <v>184.</v>
      </c>
      <c r="B266" s="20" t="str">
        <f>IF(C248="tak","Dolna krawędź lustra jest nie wyżej niż 1 m od podłogi.","")</f>
        <v>Dolna krawędź lustra jest nie wyżej niż 1 m od podłogi.</v>
      </c>
      <c r="C266" s="21" t="s">
        <v>9</v>
      </c>
      <c r="D266" s="22" t="str">
        <f>IF(AND(C248="tak",C266="nie"),"W opisie dostępności budynku podaj informację o wysokości, na jakiej znajduje się lustro – dodaj fotografię.","")</f>
        <v>W opisie dostępności budynku podaj informację o wysokości, na jakiej znajduje się lustro – dodaj fotografię.</v>
      </c>
      <c r="E266" s="22" t="str">
        <f>IF(AND(C248="tak",C266="nie"),"Podczas najbliższego remontu w toalecie pamiętaj o umieszczeniu dużego lustra na odpowiedniej wysokości (najlepsze jest lustro o wysokości ok. 1,1 m, zamontowane na wysokości 90 cm od podłogi).","")</f>
        <v>Podczas najbliższego remontu w toalecie pamiętaj o umieszczeniu dużego lustra na odpowiedniej wysokości (najlepsze jest lustro o wysokości ok. 1,1 m, zamontowane na wysokości 90 cm od podłogi).</v>
      </c>
    </row>
    <row r="267" spans="1:29" ht="78.599999999999994" customHeight="1" x14ac:dyDescent="0.25">
      <c r="A267" s="19" t="str">
        <f>IF(C248="tak","185.","")</f>
        <v>185.</v>
      </c>
      <c r="B267" s="20" t="str">
        <f>IF(C248="tak","Całe wyposażenie toalety (miska ustępowa, umywalka itp.) jest skontrastowane kolorystycznie w stosunku do ścian (łatwe do zauważenia).","")</f>
        <v>Całe wyposażenie toalety (miska ustępowa, umywalka itp.) jest skontrastowane kolorystycznie w stosunku do ścian (łatwe do zauważenia).</v>
      </c>
      <c r="C267" s="21" t="s">
        <v>9</v>
      </c>
      <c r="D267" s="22"/>
      <c r="E267" s="22" t="str">
        <f>IF(AND(C248="tak",C267="nie"),"Zastanów się nad możliwymi do wprowadzenia sposobami skontrastowania elementów wyposażenia i ścian. Możesz albo wymieniać wyposażenie, albo zmieniać kolorystykę ścian, np. przez zastosowanie farb to płytek.","")</f>
        <v>Zastanów się nad możliwymi do wprowadzenia sposobami skontrastowania elementów wyposażenia i ścian. Możesz albo wymieniać wyposażenie, albo zmieniać kolorystykę ścian, np. przez zastosowanie farb to płytek.</v>
      </c>
    </row>
    <row r="268" spans="1:29" ht="82.15" customHeight="1" x14ac:dyDescent="0.25">
      <c r="A268" s="19" t="str">
        <f>IF(C248="tak","186.","")</f>
        <v>186.</v>
      </c>
      <c r="B268" s="20" t="str">
        <f>IF(C248="tak","W toalecie jest instalacja alarmowa.","")</f>
        <v>W toalecie jest instalacja alarmowa.</v>
      </c>
      <c r="C268" s="21" t="s">
        <v>8</v>
      </c>
      <c r="D268" s="22" t="str">
        <f>IF(AND(C248="tak",C268="nie"),"W opisie dostępności budynku podaj informację o braku instalacji alarmowej w toalecie. Zastanów się nad innymi formami powiadomienia obsługi obiektu o potrzebie pomocy w toalecie – np. podaj numer telefonu pod który można zadzwonić lub wysłać sms.","")</f>
        <v/>
      </c>
      <c r="E268" s="22" t="str">
        <f>IF(AND(C248="tak",C268="nie"),"Koniecznie zainstaluj w toalecie instalację alarmową – możliwy jest zakup systemów, które nie wymagają prowadzenia dodatkowego okablowania w ścianach.","")</f>
        <v/>
      </c>
    </row>
    <row r="269" spans="1:29" ht="64.150000000000006" customHeight="1" x14ac:dyDescent="0.25">
      <c r="A269" s="19" t="str">
        <f>IF(AND(C248="tak",C268="tak"),"187.","")</f>
        <v>187.</v>
      </c>
      <c r="B269" s="20" t="str">
        <f>IF(AND(C248="tak",C268="tak"),"Przycisk / linka wzywania pomocy jest na wysokości do 40 cm od podłogi.","")</f>
        <v>Przycisk / linka wzywania pomocy jest na wysokości do 40 cm od podłogi.</v>
      </c>
      <c r="C269" s="21" t="s">
        <v>9</v>
      </c>
      <c r="D269" s="22" t="str">
        <f>IF(AND(C248="tak",C268="tak",C269="nie"),"Koniecznie zamontuj przycisk / linkę na wysokości do 40 cm od podłogi – wyżej może nie spełnić swojego zadania, jeśli ktoś się przewróci lub spadnie z miski ustępowej.","")</f>
        <v>Koniecznie zamontuj przycisk / linkę na wysokości do 40 cm od podłogi – wyżej może nie spełnić swojego zadania, jeśli ktoś się przewróci lub spadnie z miski ustępowej.</v>
      </c>
      <c r="E269" s="22"/>
    </row>
    <row r="270" spans="1:29" ht="47.45" customHeight="1" x14ac:dyDescent="0.25">
      <c r="A270" s="19" t="str">
        <f>IF(AND(C248="tak",C268="tak"),"188.","")</f>
        <v>188.</v>
      </c>
      <c r="B270" s="20" t="str">
        <f>IF(AND(C248="tak",C268="tak"),"Przycisk kasowania alarmu jest wewnątrz toalety, na wysokości w przedziale 0,8-1,1 m od podłogi.","")</f>
        <v>Przycisk kasowania alarmu jest wewnątrz toalety, na wysokości w przedziale 0,8-1,1 m od podłogi.</v>
      </c>
      <c r="C270" s="21" t="s">
        <v>9</v>
      </c>
      <c r="D270" s="22" t="str">
        <f>IF(AND(C248="tak",C268="tak",C270="nie"),"W opisie dostępności budynku podaj informację o umiejscowieniu i wysokości montażu przycisku kasowania alarmu.","")</f>
        <v>W opisie dostępności budynku podaj informację o umiejscowieniu i wysokości montażu przycisku kasowania alarmu.</v>
      </c>
      <c r="E270" s="22" t="str">
        <f>IF(AND(C248="tak",C268="tak",C270="nie"),"Podczas najbliższego remontu w toalecie pamiętaj o odpowiednim montażu przycisku.","")</f>
        <v>Podczas najbliższego remontu w toalecie pamiętaj o odpowiednim montażu przycisku.</v>
      </c>
    </row>
    <row r="272" spans="1:29" ht="21" x14ac:dyDescent="0.25">
      <c r="A272" s="30" t="s">
        <v>308</v>
      </c>
      <c r="B272" s="30"/>
      <c r="C272" s="30"/>
      <c r="D272" s="30"/>
      <c r="E272" s="30"/>
    </row>
    <row r="273" spans="1:29" x14ac:dyDescent="0.25">
      <c r="B273" s="5"/>
      <c r="D273" s="8"/>
    </row>
    <row r="274" spans="1:29" x14ac:dyDescent="0.25">
      <c r="A274" s="16"/>
      <c r="B274" s="17" t="s">
        <v>5</v>
      </c>
      <c r="C274" s="18" t="s">
        <v>6</v>
      </c>
      <c r="D274" s="17" t="s">
        <v>26</v>
      </c>
      <c r="E274" s="17" t="s">
        <v>27</v>
      </c>
    </row>
    <row r="275" spans="1:29" ht="198" customHeight="1" x14ac:dyDescent="0.25">
      <c r="A275" s="26" t="s">
        <v>309</v>
      </c>
      <c r="B275" s="27" t="s">
        <v>311</v>
      </c>
      <c r="C275" s="28" t="s">
        <v>8</v>
      </c>
      <c r="D275" s="22" t="str">
        <f>IF(C275="nie","W opisie dostępności budynku podaj informację o tym, że w budynku nie ma łazienki dla osób z niepełnosprawnościami.","")</f>
        <v/>
      </c>
      <c r="E275" s="22" t="str">
        <f>IF(C275="nie",AC275,"")</f>
        <v/>
      </c>
      <c r="AC275" s="6" t="s">
        <v>310</v>
      </c>
    </row>
    <row r="276" spans="1:29" x14ac:dyDescent="0.25">
      <c r="A276" s="26"/>
      <c r="B276" s="27"/>
      <c r="C276" s="28"/>
      <c r="D276" s="29" t="str">
        <f>IF(C275="nie","Przejdź do kolejnej części (pytanie 217).","")</f>
        <v/>
      </c>
      <c r="E276" s="29"/>
    </row>
    <row r="277" spans="1:29" ht="31.5" x14ac:dyDescent="0.25">
      <c r="A277" s="19" t="str">
        <f>IF(C275="tak","190.","")</f>
        <v>190.</v>
      </c>
      <c r="B277" s="20" t="str">
        <f>IF(C275="tak","Drzwi do łazienki mają szerokość co najmniej 90 cm.","")</f>
        <v>Drzwi do łazienki mają szerokość co najmniej 90 cm.</v>
      </c>
      <c r="C277" s="21" t="s">
        <v>9</v>
      </c>
      <c r="D277" s="22" t="str">
        <f>IF(AND(C275="tak",C277="nie"),"W opisie dostępności budynku podaj informację o szerokości drzwi do łazienki.","")</f>
        <v>W opisie dostępności budynku podaj informację o szerokości drzwi do łazienki.</v>
      </c>
      <c r="E277" s="22" t="str">
        <f>IF(AND(C275="tak",C277="nie"),"Koniecznie poszerz wejście do łazienki dla osób z niepełnosprawnościami.","")</f>
        <v>Koniecznie poszerz wejście do łazienki dla osób z niepełnosprawnościami.</v>
      </c>
    </row>
    <row r="278" spans="1:29" ht="47.25" x14ac:dyDescent="0.25">
      <c r="A278" s="19" t="str">
        <f>IF(C275="tak","191.","")</f>
        <v>191.</v>
      </c>
      <c r="B278" s="20" t="str">
        <f>IF(C275="tak","Próg w drzwiach do łazienki ma wysokość do 2 cm.","")</f>
        <v>Próg w drzwiach do łazienki ma wysokość do 2 cm.</v>
      </c>
      <c r="C278" s="21" t="s">
        <v>9</v>
      </c>
      <c r="D278" s="22" t="str">
        <f>IF(AND(C275="tak",C278="nie"),"W opisie dostępności budynku podaj informację o wysokości progu w łazience dla osób z niepełnosprawnościami.","")</f>
        <v>W opisie dostępności budynku podaj informację o wysokości progu w łazience dla osób z niepełnosprawnościami.</v>
      </c>
      <c r="E278" s="22" t="str">
        <f>IF(AND(C275="tak",C278="nie"),"Koniecznie zmniejsz wysokość progu (najlepiej całkiem go usuń).","")</f>
        <v>Koniecznie zmniejsz wysokość progu (najlepiej całkiem go usuń).</v>
      </c>
    </row>
    <row r="279" spans="1:29" ht="63" x14ac:dyDescent="0.25">
      <c r="A279" s="19" t="str">
        <f>IF(C275="tak","192.","")</f>
        <v>192.</v>
      </c>
      <c r="B279" s="20" t="str">
        <f>IF(C275="tak","Otwarcie drzwi nie wymaga użycia dużej siły.","")</f>
        <v>Otwarcie drzwi nie wymaga użycia dużej siły.</v>
      </c>
      <c r="C279" s="21" t="s">
        <v>9</v>
      </c>
      <c r="D279" s="22" t="str">
        <f>IF(AND(C275="tak",C279="nie"),"W opisie dostępności budynku podaj informację o tym, że otwarcie drzwi do łazienki wymaga znacznej siły.","")</f>
        <v>W opisie dostępności budynku podaj informację o tym, że otwarcie drzwi do łazienki wymaga znacznej siły.</v>
      </c>
      <c r="E279" s="22" t="str">
        <f>IF(AND(C275="tak",C279="nie"),"Koniecznie ułatw otwieranie drzwi: możesz albo montować system wspomagania otwierania albo wymienić drzwi na lżejsze / łatwiejsze do otwierania.","")</f>
        <v>Koniecznie ułatw otwieranie drzwi: możesz albo montować system wspomagania otwierania albo wymienić drzwi na lżejsze / łatwiejsze do otwierania.</v>
      </c>
    </row>
    <row r="280" spans="1:29" ht="47.25" x14ac:dyDescent="0.25">
      <c r="A280" s="19" t="str">
        <f>IF(C275="tak","193.","")</f>
        <v>193.</v>
      </c>
      <c r="B280" s="20" t="str">
        <f>IF(C275="tak","Klamka i zamknięcie drzwi są skontrastowane w stosunku do barwy drzwi.","")</f>
        <v>Klamka i zamknięcie drzwi są skontrastowane w stosunku do barwy drzwi.</v>
      </c>
      <c r="C280" s="21" t="s">
        <v>9</v>
      </c>
      <c r="D280" s="22" t="str">
        <f>IF(AND(C275="tak",C280="nie"),"W opisie dostępności budynku podaj informację o tym, po której stronie drzwi (lewej czy prawej) jest klamka.","")</f>
        <v>W opisie dostępności budynku podaj informację o tym, po której stronie drzwi (lewej czy prawej) jest klamka.</v>
      </c>
      <c r="E280" s="22" t="str">
        <f>IF(AND(C275="tak",C280="nie"),"Wymień klamkę na bardziej skontrastowaną w stosunku do barwy drzwi (ciemną w jasnych drzwiach, jasną w ciemnych drzwiach).","")</f>
        <v>Wymień klamkę na bardziej skontrastowaną w stosunku do barwy drzwi (ciemną w jasnych drzwiach, jasną w ciemnych drzwiach).</v>
      </c>
    </row>
    <row r="281" spans="1:29" ht="141" customHeight="1" x14ac:dyDescent="0.25">
      <c r="A281" s="19" t="str">
        <f>IF(C275="tak","194.","")</f>
        <v>194.</v>
      </c>
      <c r="B281" s="20" t="str">
        <f>IF(C275="tak","W łazience jest przestrzeń do manewrowania wózkiem – co najmniej 1,5 x 1,5 m.","")</f>
        <v>W łazience jest przestrzeń do manewrowania wózkiem – co najmniej 1,5 x 1,5 m.</v>
      </c>
      <c r="C281" s="21" t="s">
        <v>9</v>
      </c>
      <c r="D281" s="22" t="str">
        <f>IF(AND(C275="tak",C281="nie"),"W opisie dostępności budynku podaj informację o wielkości przestrzeni manewrowej w łazience – dodaj fotografię.","")</f>
        <v>W opisie dostępności budynku podaj informację o wielkości przestrzeni manewrowej w łazience – dodaj fotografię.</v>
      </c>
      <c r="E281" s="22" t="str">
        <f>IF(AND(C275="tak",C281="nie"),AC281,"")</f>
        <v>Sprawdź, czy możliwa jest albo przebudowa istniejących łazienek albo wyznaczenie nowej łazienki o odpowiednich wymiarach. Jeśli tak, zaplanuj takie prace. Pamiętaj o rozplanowaniu układu łazienki w taki sposób, by możliwe było  manewrowanie wózkiem (przestrzeń 1,5 x 1,5 m) i przesiadanie się na miskę ustępową i siedzisko prysznicowe (przestrzeń obok o szerokości co najmniej 90 cm).</v>
      </c>
      <c r="AC281" s="6" t="s">
        <v>312</v>
      </c>
    </row>
    <row r="282" spans="1:29" ht="140.44999999999999" customHeight="1" x14ac:dyDescent="0.25">
      <c r="A282" s="19" t="str">
        <f>IF(C275="tak","195.","")</f>
        <v>195.</v>
      </c>
      <c r="B282" s="20" t="str">
        <f>IF(C275="tak","Co najmniej z jednej strony miski ustępowej jest miejsce do przesiadania się o szerokości nie mniejszej niż 90 cm.","")</f>
        <v>Co najmniej z jednej strony miski ustępowej jest miejsce do przesiadania się o szerokości nie mniejszej niż 90 cm.</v>
      </c>
      <c r="C282" s="21" t="s">
        <v>9</v>
      </c>
      <c r="D282" s="22" t="str">
        <f>IF(AND(C275="tak",C282="nie"),"W opisie dostępności budynku podaj informację o wielkości przestrzeni transferu na miskę ustępową – dodaj fotografię.","")</f>
        <v>W opisie dostępności budynku podaj informację o wielkości przestrzeni transferu na miskę ustępową – dodaj fotografię.</v>
      </c>
      <c r="E282" s="22" t="str">
        <f>IF(AND(C275="tak",C282="nie"),AC282,"")</f>
        <v>Sprawdź, czy możliwa jest albo przebudowa istniejących łazienek albo wyznaczenie nowej łazienki o odpowiednich wymiarach. Jeśli tak, zaplanuj takie prace. Pamiętaj o rozplanowaniu układu pomieszczenia w taki sposób, by możliwe było  manewrowanie wózkiem (przestrzeń 1,5 x 1,5 m) i przesiadanie się na miskę ustępową i siedzisko prysznicowe (przestrzeń obok niej o szerokości co najmniej 90 cm).</v>
      </c>
      <c r="AC282" s="6" t="s">
        <v>313</v>
      </c>
    </row>
    <row r="283" spans="1:29" ht="140.44999999999999" customHeight="1" x14ac:dyDescent="0.25">
      <c r="A283" s="19" t="str">
        <f>IF(C275="tak","196.","")</f>
        <v>196.</v>
      </c>
      <c r="B283" s="20" t="str">
        <f>IF(C275="tak","Co najmniej z jednej strony siedziska prysznicowego jest miejsce do przesiadania się o szerokości nie mniejszej niż 90 cm.","")</f>
        <v>Co najmniej z jednej strony siedziska prysznicowego jest miejsce do przesiadania się o szerokości nie mniejszej niż 90 cm.</v>
      </c>
      <c r="C283" s="21" t="s">
        <v>9</v>
      </c>
      <c r="D283" s="22" t="str">
        <f>IF(AND(C275="tak",C283="nie"),"W opisie dostępności budynku podaj informację o wielkości przestrzeni transferu na siedzisko prysznicowe – dodaj fotografię.","")</f>
        <v>W opisie dostępności budynku podaj informację o wielkości przestrzeni transferu na siedzisko prysznicowe – dodaj fotografię.</v>
      </c>
      <c r="E283" s="22" t="str">
        <f>IF(AND(C275="tak",C283="nie"),AC283,"")</f>
        <v>Sprawdź, czy możliwa jest albo przebudowa istniejących łazienek albo wyznaczenie nowej łazienki o odpowiednich wymiarach. Jeśli tak, zaplanuj takie prace. Pamiętaj o rozplanowaniu układu pomieszczenia w taki sposób, by możliwe było  manewrowanie wózkiem (przestrzeń 1,5 x 1,5 m) i przesiadanie się na miskę ustępową i siedzisko prysznicowe (przestrzeń obok niej o szerokości co najmniej 90 cm).</v>
      </c>
      <c r="AC283" s="6" t="s">
        <v>313</v>
      </c>
    </row>
    <row r="284" spans="1:29" ht="109.15" customHeight="1" x14ac:dyDescent="0.25">
      <c r="A284" s="19" t="str">
        <f>IF(C275="tak","197.","")</f>
        <v>197.</v>
      </c>
      <c r="B284" s="20" t="str">
        <f>IF(C275="tak","Po obu stronach miski ustępowej są pochwyty.","")</f>
        <v>Po obu stronach miski ustępowej są pochwyty.</v>
      </c>
      <c r="C284" s="21" t="s">
        <v>9</v>
      </c>
      <c r="D284" s="22" t="str">
        <f>IF(AND(C275="tak",C284="nie"),"W opisie dostępności budynku podaj informację o ilości pochwytów w łazience – dodaj fotografię, na której będzie widać, po której stronie miski się znajdują.","")</f>
        <v>W opisie dostępności budynku podaj informację o ilości pochwytów w łazience – dodaj fotografię, na której będzie widać, po której stronie miski się znajdują.</v>
      </c>
      <c r="E284" s="22" t="str">
        <f>IF(AND(C275="tak",C284="nie"),AC284,"")</f>
        <v>Koniecznie zamontuj pochwyty po lewej i prawej stronie miski ustępowej. Sprawdź, czy możliwe i bezpieczne jest montowanie ich do ściany (jeśli to np. ściana wykończona zabudową z płyt gipsowo-kartonowych bez dodatkowego wzmocnienia, montaż może nie być możliwy), jeśli nie – wybierz pochwyty montowane do podłogi.</v>
      </c>
      <c r="AC284" s="6" t="s">
        <v>306</v>
      </c>
    </row>
    <row r="285" spans="1:29" ht="47.25" x14ac:dyDescent="0.25">
      <c r="A285" s="19" t="str">
        <f>IF(C275="tak","198.","")</f>
        <v>198.</v>
      </c>
      <c r="B285" s="20" t="str">
        <f>IF(C275="tak","Siedzisko miski ustępowej jest na wysokości 45-50 cm.","")</f>
        <v>Siedzisko miski ustępowej jest na wysokości 45-50 cm.</v>
      </c>
      <c r="C285" s="21" t="s">
        <v>9</v>
      </c>
      <c r="D285" s="22" t="str">
        <f>IF(AND(C275="tak",C285="nie"),"W opisie dostępności budynku podaj informację o wysokości siedziska miski ustępowej – dodaj fotografię.","")</f>
        <v>W opisie dostępności budynku podaj informację o wysokości siedziska miski ustępowej – dodaj fotografię.</v>
      </c>
      <c r="E285" s="22" t="str">
        <f>IF(AND(C275="tak",C285="nie"),"Podczas najbliższego remontu łazienki zadbaj o montaż miski ustępowej na wysokości 45-50 cm powyżej podłogi.","")</f>
        <v>Podczas najbliższego remontu łazienki zadbaj o montaż miski ustępowej na wysokości 45-50 cm powyżej podłogi.</v>
      </c>
    </row>
    <row r="286" spans="1:29" ht="31.5" x14ac:dyDescent="0.25">
      <c r="A286" s="19" t="str">
        <f>IF(C275="tak","199.","")</f>
        <v>199.</v>
      </c>
      <c r="B286" s="20" t="str">
        <f>IF(C275="tak","Miska ustępowa jest dłuższa niż standardowa (ma 70 cm długości).","")</f>
        <v>Miska ustępowa jest dłuższa niż standardowa (ma 70 cm długości).</v>
      </c>
      <c r="C286" s="21" t="s">
        <v>9</v>
      </c>
      <c r="D286" s="22" t="str">
        <f>IF(AND(C275="tak",C286="nie"),"W opisie dostępności budynku podaj informację o długości miski ustępowej – dodaj fotografię.","")</f>
        <v>W opisie dostępności budynku podaj informację o długości miski ustępowej – dodaj fotografię.</v>
      </c>
      <c r="E286" s="22" t="str">
        <f>IF(AND(C275="tak",C286="nie"),"Podczas najbliższego remontu łazienki zadbaj o montaż miski ustępowej o odpowiedniej długości.","")</f>
        <v>Podczas najbliższego remontu łazienki zadbaj o montaż miski ustępowej o odpowiedniej długości.</v>
      </c>
    </row>
    <row r="287" spans="1:29" ht="109.15" customHeight="1" x14ac:dyDescent="0.25">
      <c r="A287" s="19" t="str">
        <f>IF(C275="tak","200.","")</f>
        <v>200.</v>
      </c>
      <c r="B287" s="20" t="str">
        <f>IF(C275="tak","Po obu stronach umywalki są pochwyty.","")</f>
        <v>Po obu stronach umywalki są pochwyty.</v>
      </c>
      <c r="C287" s="21" t="s">
        <v>9</v>
      </c>
      <c r="D287" s="22" t="str">
        <f>IF(AND(C275="tak",C287="nie"),"W opisie dostępności budynku podaj informację o ilości pochwytów w łazience – dodaj fotografię, na której będzie widać, po której stronie umywalki się znajdują.","")</f>
        <v>W opisie dostępności budynku podaj informację o ilości pochwytów w łazience – dodaj fotografię, na której będzie widać, po której stronie umywalki się znajdują.</v>
      </c>
      <c r="E287" s="22" t="str">
        <f>IF(AND(C275="tak",C287="nie"),AC287,"")</f>
        <v>Koniecznie zamontuj pochwyty po lewej i prawej stronie umywalki. Sprawdź, czy możliwe i bezpieczne jest montowanie ich do ściany (jeśli to np. ściana wykończona zabudową z płyt gipsowo-kartonowych bez dodatkowego wzmocnienia, montaż może nie być możliwy), jeśli nie – wybierz pochwyty montowane do podłogi.</v>
      </c>
      <c r="AC287" s="4" t="s">
        <v>307</v>
      </c>
    </row>
    <row r="288" spans="1:29" ht="63" x14ac:dyDescent="0.25">
      <c r="A288" s="19" t="str">
        <f>IF(C275="tak","201.","")</f>
        <v>201.</v>
      </c>
      <c r="B288" s="20" t="str">
        <f>IF(C275="tak","Pod umywalką zapewniona jest przestrzeń o wysokości co najmniej 70 cm (na nogi osoby na wózku).","")</f>
        <v>Pod umywalką zapewniona jest przestrzeń o wysokości co najmniej 70 cm (na nogi osoby na wózku).</v>
      </c>
      <c r="C288" s="21" t="s">
        <v>9</v>
      </c>
      <c r="D288" s="22" t="str">
        <f>IF(AND(C275="tak",C288="nie"),"W opisie dostępności budynku podaj informację o wysokości wolnej przestrzeni pod umywalką – dodaj fotografię.","")</f>
        <v>W opisie dostępności budynku podaj informację o wysokości wolnej przestrzeni pod umywalką – dodaj fotografię.</v>
      </c>
      <c r="E288" s="22" t="str">
        <f>IF(AND(C275="tak",C288="nie"),"Podczas najbliższego remontu łazienki zadbaj o montaż umywalki niskosyfonowej na odpowiedniej wysokości (czyli z przestrzenią na nogi pod nią).","")</f>
        <v>Podczas najbliższego remontu łazienki zadbaj o montaż umywalki niskosyfonowej na odpowiedniej wysokości (czyli z przestrzenią na nogi pod nią).</v>
      </c>
    </row>
    <row r="289" spans="1:29" ht="46.9" customHeight="1" x14ac:dyDescent="0.25">
      <c r="A289" s="19" t="str">
        <f>IF(C275="tak","202.","")</f>
        <v>202.</v>
      </c>
      <c r="B289" s="20" t="str">
        <f>IF(C275="tak","Bateria umywalkowa jest automatyczna lub z przedłużonym uchwytem.","")</f>
        <v>Bateria umywalkowa jest automatyczna lub z przedłużonym uchwytem.</v>
      </c>
      <c r="C289" s="21" t="s">
        <v>9</v>
      </c>
      <c r="D289" s="22" t="str">
        <f>IF(AND(C275="tak",C289="nie"),"W opisie dostępności dodaj fotografię baterii umywalkowej.","")</f>
        <v>W opisie dostępności dodaj fotografię baterii umywalkowej.</v>
      </c>
      <c r="E289" s="22" t="str">
        <f>IF(AND(C275="tak",C289="nie"),"Wymień baterię na nową, automatyczną lub z przedłużonym uchwytem (najlepsza jest tzw. bateria chirurgiczna).","")</f>
        <v>Wymień baterię na nową, automatyczną lub z przedłużonym uchwytem (najlepsza jest tzw. bateria chirurgiczna).</v>
      </c>
    </row>
    <row r="290" spans="1:29" ht="50.45" customHeight="1" x14ac:dyDescent="0.25">
      <c r="A290" s="19" t="str">
        <f>IF(C275="tak","203.","")</f>
        <v>203.</v>
      </c>
      <c r="B290" s="20" t="str">
        <f>IF(C275="tak","Bateria umywalkowa ma przedłużoną wylewkę.","")</f>
        <v>Bateria umywalkowa ma przedłużoną wylewkę.</v>
      </c>
      <c r="C290" s="21" t="s">
        <v>9</v>
      </c>
      <c r="D290" s="22" t="str">
        <f>IF(AND($C$275="tak",C290="nie"),"W opisie dostępności dodaj fotografię baterii umywalkowej.","")</f>
        <v>W opisie dostępności dodaj fotografię baterii umywalkowej.</v>
      </c>
      <c r="E290" s="22" t="str">
        <f>IF(AND($C$275="tak",C290="nie"),"Wymień baterię na nową, o przedłużonej wylewce. Wylewka powinna kończyć się w odległości mniejszej niż 30 cm od krawędzi umywalki.","")</f>
        <v>Wymień baterię na nową, o przedłużonej wylewce. Wylewka powinna kończyć się w odległości mniejszej niż 30 cm od krawędzi umywalki.</v>
      </c>
    </row>
    <row r="291" spans="1:29" ht="71.25" customHeight="1" x14ac:dyDescent="0.25">
      <c r="A291" s="19" t="str">
        <f>IF(C275="tak","204.","")</f>
        <v>204.</v>
      </c>
      <c r="B291" s="20" t="str">
        <f>IF(C275="tak","Kabina natryskowa ma szerokość co najmniej 1,5 m.","")</f>
        <v>Kabina natryskowa ma szerokość co najmniej 1,5 m.</v>
      </c>
      <c r="C291" s="21" t="s">
        <v>9</v>
      </c>
      <c r="D291" s="22" t="str">
        <f>IF(AND($C$275="tak",C291="nie"),"W opisie dostępności budynku podaj informację o wielkości kabiny natryskowej – dodaj fotografię.","")</f>
        <v>W opisie dostępności budynku podaj informację o wielkości kabiny natryskowej – dodaj fotografię.</v>
      </c>
      <c r="E291" s="22" t="str">
        <f>IF(AND($C$275="tak",C291="nie"),"Sprawdź, czy możliwa jest albo przebudowa istniejących łazienek albo wyznaczenie nowej o odpowiednich wymiarach kabiny. Jeśli tak, zaplanuj takie prace.","")</f>
        <v>Sprawdź, czy możliwa jest albo przebudowa istniejących łazienek albo wyznaczenie nowej o odpowiednich wymiarach kabiny. Jeśli tak, zaplanuj takie prace.</v>
      </c>
    </row>
    <row r="292" spans="1:29" ht="97.15" customHeight="1" x14ac:dyDescent="0.25">
      <c r="A292" s="19" t="str">
        <f>IF(C275="tak","205.","")</f>
        <v>205.</v>
      </c>
      <c r="B292" s="20" t="str">
        <f>IF(C275="tak","Kabina natryskowa została wyposażona w składane siedzisko. ","")</f>
        <v xml:space="preserve">Kabina natryskowa została wyposażona w składane siedzisko. </v>
      </c>
      <c r="C292" s="21" t="s">
        <v>8</v>
      </c>
      <c r="D292" s="22" t="str">
        <f>IF(AND($C$275="tak",C292="nie"),"W opisie dostępności budynku podaj informację o rodzaju siedziska pod prysznicem lub jego braku.","")</f>
        <v/>
      </c>
      <c r="E292" s="22" t="str">
        <f>IF(AND($C$275="tak",C292="nie"),AC292,"")</f>
        <v/>
      </c>
      <c r="AC292" s="6" t="s">
        <v>314</v>
      </c>
    </row>
    <row r="293" spans="1:29" ht="45" customHeight="1" x14ac:dyDescent="0.25">
      <c r="A293" s="19" t="str">
        <f>IF(AND($C$275="tak",$C$292="tak"),"206.","")</f>
        <v>206.</v>
      </c>
      <c r="B293" s="20" t="str">
        <f>IF(AND($C$275="tak",$C$292="tak"),"Siedzisko jest zamontowane na wysokości w przedziale 45-48 cm powyżej poziomu posadzki.","")</f>
        <v>Siedzisko jest zamontowane na wysokości w przedziale 45-48 cm powyżej poziomu posadzki.</v>
      </c>
      <c r="C293" s="21" t="s">
        <v>9</v>
      </c>
      <c r="D293" s="22" t="str">
        <f>IF(AND($C$275="tak",$C$292="tak",C293="nie"),"W opisie dostępności budynku podaj informację o wysokości siedziska. ","")</f>
        <v xml:space="preserve">W opisie dostępności budynku podaj informację o wysokości siedziska. </v>
      </c>
      <c r="E293" s="22" t="str">
        <f>IF(AND($C$275="tak",$C$292="tak",C293="nie"),"Podczas najbliższego remontu łazienki pamiętaj o jego montażu na wysokości 45-48 cm.","")</f>
        <v>Podczas najbliższego remontu łazienki pamiętaj o jego montażu na wysokości 45-48 cm.</v>
      </c>
    </row>
    <row r="294" spans="1:29" ht="47.25" x14ac:dyDescent="0.25">
      <c r="A294" s="19" t="str">
        <f>IF(C275="tak","207.","")</f>
        <v>207.</v>
      </c>
      <c r="B294" s="20" t="str">
        <f>IF($C$275="tak","Bateria prysznicowa została zamontowana na ścianie, obok siedziska, na wysokości w przedziale 0,8-1,2 m.","")</f>
        <v>Bateria prysznicowa została zamontowana na ścianie, obok siedziska, na wysokości w przedziale 0,8-1,2 m.</v>
      </c>
      <c r="C294" s="21" t="s">
        <v>9</v>
      </c>
      <c r="D294" s="22" t="str">
        <f>IF(AND($C$275="tak",C294="nie"),"W opisie dostępności budynku podaj informację o wysokości montażu baterii prysznicowej.","")</f>
        <v>W opisie dostępności budynku podaj informację o wysokości montażu baterii prysznicowej.</v>
      </c>
      <c r="E294" s="22" t="str">
        <f>IF(AND($C$275="tak",C294="nie"),"Zaplanuj przeniesienie baterii prysznicowej na odpowiednią wysokość (w przedziale 0,8-1,2 m).","")</f>
        <v>Zaplanuj przeniesienie baterii prysznicowej na odpowiednią wysokość (w przedziale 0,8-1,2 m).</v>
      </c>
    </row>
    <row r="295" spans="1:29" ht="49.15" customHeight="1" x14ac:dyDescent="0.25">
      <c r="A295" s="19" t="str">
        <f>IF(C275="tak","208.","")</f>
        <v>208.</v>
      </c>
      <c r="B295" s="20" t="str">
        <f>IF($C$275="tak","W kabinie prysznicowej są pochwyty.","")</f>
        <v>W kabinie prysznicowej są pochwyty.</v>
      </c>
      <c r="C295" s="21" t="s">
        <v>9</v>
      </c>
      <c r="D295" s="22" t="str">
        <f>IF(AND($C$275="tak",C295="nie"),"W opisie dostępności budynku podaj informację o braku pochwytów w kabinie prysznicowej – dodaj fotografię. ","")</f>
        <v xml:space="preserve">W opisie dostępności budynku podaj informację o braku pochwytów w kabinie prysznicowej – dodaj fotografię. </v>
      </c>
      <c r="E295" s="22" t="str">
        <f>IF(AND($C$275="tak",C295="nie"),"Zaplanuj montaż pochwytów w kabinie prysznicowej. Powinny to być co najmniej 2 pochwyty, zamontowane na wysokości w przedziale 0,68-80 cm.","")</f>
        <v>Zaplanuj montaż pochwytów w kabinie prysznicowej. Powinny to być co najmniej 2 pochwyty, zamontowane na wysokości w przedziale 0,68-80 cm.</v>
      </c>
    </row>
    <row r="296" spans="1:29" x14ac:dyDescent="0.25">
      <c r="A296" s="19" t="str">
        <f>IF(AND($C$275="tak",$C$295="tak"),"209.","")</f>
        <v/>
      </c>
      <c r="B296" s="20" t="str">
        <f>IF(AND($C$275="tak",$C$295="tak"),"Pochwyty w kabinie są zamontowane na wysokości w przedziale 68-80 cm od podłogi. ","")</f>
        <v/>
      </c>
      <c r="C296" s="21"/>
      <c r="D296" s="22" t="str">
        <f>IF(AND($C$275="tak",$C$295="tak",C296="nie"),"W opisie dostępności budynku podaj informację o wysokości montażu pochwytów.","")</f>
        <v/>
      </c>
      <c r="E296" s="22" t="str">
        <f>IF(AND($C$275="tak",$C$295="tak",C296="nie"),"Zaplanuj przeniesienie pochwytów na odpowiednią wysokość (w przedziale 68-80 cm).","")</f>
        <v/>
      </c>
    </row>
    <row r="297" spans="1:29" ht="47.25" x14ac:dyDescent="0.25">
      <c r="A297" s="19" t="str">
        <f>IF(C275="tak","210.","")</f>
        <v>210.</v>
      </c>
      <c r="B297" s="20" t="str">
        <f>IF(C275="tak","Wszystkie podajniki (papier toaletowy, mydło, ręczniki, suszarka do rąk) są na wysokości 0,8-1,1 m od podłogi.","")</f>
        <v>Wszystkie podajniki (papier toaletowy, mydło, ręczniki, suszarka do rąk) są na wysokości 0,8-1,1 m od podłogi.</v>
      </c>
      <c r="C297" s="21" t="s">
        <v>9</v>
      </c>
      <c r="D297" s="22" t="str">
        <f>IF(AND(C275="tak",C297="nie"),"Przenieś podajniki i zamontuj je na odpowiedniej wysokości – w przedziale 0,8-1,1 m powyżej podłogi.","")</f>
        <v>Przenieś podajniki i zamontuj je na odpowiedniej wysokości – w przedziale 0,8-1,1 m powyżej podłogi.</v>
      </c>
      <c r="E297" s="22"/>
    </row>
    <row r="298" spans="1:29" ht="47.25" x14ac:dyDescent="0.25">
      <c r="A298" s="19" t="str">
        <f>IF(C275="tak","211.","")</f>
        <v>211.</v>
      </c>
      <c r="B298" s="20" t="str">
        <f>IF(C275="tak","Włącznik światła w łazience jest na wysokości 0,8-1,1 m albo światło uruchamia się automatycznie.","")</f>
        <v>Włącznik światła w łazience jest na wysokości 0,8-1,1 m albo światło uruchamia się automatycznie.</v>
      </c>
      <c r="C298" s="21" t="s">
        <v>9</v>
      </c>
      <c r="D298" s="22" t="str">
        <f>IF(AND(C275="tak",C298="nie"),"W opisie dostępności budynku podaj informację o wysokości, na jakiej znajduje się włączniki światła.","")</f>
        <v>W opisie dostępności budynku podaj informację o wysokości, na jakiej znajduje się włączniki światła.</v>
      </c>
      <c r="E298" s="22" t="str">
        <f>IF(AND(C275="tak",C298="nie"),"Podczas najbliższego remontu w łazience pamiętaj o odpowiednim montażu włącznika światła.","")</f>
        <v>Podczas najbliższego remontu w łazience pamiętaj o odpowiednim montażu włącznika światła.</v>
      </c>
    </row>
    <row r="299" spans="1:29" ht="78.75" x14ac:dyDescent="0.25">
      <c r="A299" s="19" t="str">
        <f>IF(C275="tak","212.","")</f>
        <v>212.</v>
      </c>
      <c r="B299" s="20" t="str">
        <f>IF(C275="tak","Dolna krawędź lustra jest nie wyżej niż 1 m od podłogi.","")</f>
        <v>Dolna krawędź lustra jest nie wyżej niż 1 m od podłogi.</v>
      </c>
      <c r="C299" s="21" t="s">
        <v>9</v>
      </c>
      <c r="D299" s="22" t="str">
        <f>IF(AND(C275="tak",C299="nie"),"W opisie dostępności budynku podaj informację o wysokości, na jakiej znajduje się lustro – dodaj fotografię.","")</f>
        <v>W opisie dostępności budynku podaj informację o wysokości, na jakiej znajduje się lustro – dodaj fotografię.</v>
      </c>
      <c r="E299" s="22" t="str">
        <f>IF(AND(C275="tak",C299="nie"),"Podczas najbliższego remontu w łazience pamiętaj o umieszczeniu dużego lustra na odpowiedniej wysokości (najlepsze jest lustro o wysokości ok. 1,1 m, zamontowane na wysokości 90 cm od podłogi).","")</f>
        <v>Podczas najbliższego remontu w łazience pamiętaj o umieszczeniu dużego lustra na odpowiedniej wysokości (najlepsze jest lustro o wysokości ok. 1,1 m, zamontowane na wysokości 90 cm od podłogi).</v>
      </c>
    </row>
    <row r="300" spans="1:29" ht="78.75" x14ac:dyDescent="0.25">
      <c r="A300" s="19" t="str">
        <f>IF(C275="tak","213.","")</f>
        <v>213.</v>
      </c>
      <c r="B300" s="20" t="str">
        <f>IF(C275="tak","Całe wyposażenie łazienki (miska ustępowa, umywalka, siedzisko prysznicowe itp.) jest skontrastowane kolorystycznie w stosunku do ścian (łatwe do zauważenia).","")</f>
        <v>Całe wyposażenie łazienki (miska ustępowa, umywalka, siedzisko prysznicowe itp.) jest skontrastowane kolorystycznie w stosunku do ścian (łatwe do zauważenia).</v>
      </c>
      <c r="C300" s="21" t="s">
        <v>9</v>
      </c>
      <c r="D300" s="22"/>
      <c r="E300" s="22" t="str">
        <f>IF(AND(C275="tak",C300="nie"),"Zastanów się nad możliwymi do wprowadzenia sposobami skontrastowania elementów wyposażenia i ścian. Możesz albo wymieniać wyposażenie, albo zmieniać kolorystykę ścian, np. przez zastosowanie farb to płytek.","")</f>
        <v>Zastanów się nad możliwymi do wprowadzenia sposobami skontrastowania elementów wyposażenia i ścian. Możesz albo wymieniać wyposażenie, albo zmieniać kolorystykę ścian, np. przez zastosowanie farb to płytek.</v>
      </c>
    </row>
    <row r="301" spans="1:29" ht="79.900000000000006" customHeight="1" x14ac:dyDescent="0.25">
      <c r="A301" s="19" t="str">
        <f>IF(C275="tak","214.","")</f>
        <v>214.</v>
      </c>
      <c r="B301" s="20" t="str">
        <f>IF(C275="tak","W łazience jest instalacja alarmowa.","")</f>
        <v>W łazience jest instalacja alarmowa.</v>
      </c>
      <c r="C301" s="21" t="s">
        <v>8</v>
      </c>
      <c r="D301" s="22" t="str">
        <f>IF(AND(C275="tak",C301="nie"),"W opisie dostępności budynku podaj informację o braku instalacji alarmowej w łazience. Zastanów się nad innymi formami powiadomienia obsługi obiektu o potrzebie pomocy – np. podaj numer telefonu pod który można zadzwonić lub wysłać sms.","")</f>
        <v/>
      </c>
      <c r="E301" s="22" t="str">
        <f>IF(AND(C275="tak",C301="nie"),"Koniecznie zainstaluj w łazience instalację alarmową – możliwy jest zakup systemów, które nie wymagają prowadzenia dodatkowego okablowania w ścianach.","")</f>
        <v/>
      </c>
    </row>
    <row r="302" spans="1:29" ht="78.75" x14ac:dyDescent="0.25">
      <c r="A302" s="19" t="str">
        <f>IF(AND(C301="tak",C275="tak"),"215.","")</f>
        <v>215.</v>
      </c>
      <c r="B302" s="20" t="str">
        <f>IF(AND(C275="tak",C301="tak"),"Przycisk / linka wzywania pomocy jest na wysokości do 40 cm od podłogi.","")</f>
        <v>Przycisk / linka wzywania pomocy jest na wysokości do 40 cm od podłogi.</v>
      </c>
      <c r="C302" s="21" t="s">
        <v>9</v>
      </c>
      <c r="D302" s="22" t="str">
        <f>IF(AND(C275="tak",C301="tak",C302="nie"),"Koniecznie zamontuj przycisk / linkę na wysokości do 40 cm od podłogi – wyżej może nie spełnić swojego zadania, jeśli ktoś się przewróci lub spadnie z miski ustępowej lub siedziska prysznicowego.","")</f>
        <v>Koniecznie zamontuj przycisk / linkę na wysokości do 40 cm od podłogi – wyżej może nie spełnić swojego zadania, jeśli ktoś się przewróci lub spadnie z miski ustępowej lub siedziska prysznicowego.</v>
      </c>
      <c r="E302" s="22"/>
    </row>
    <row r="303" spans="1:29" ht="47.25" x14ac:dyDescent="0.25">
      <c r="A303" s="19" t="str">
        <f>IF(AND(C301="tak",C275="tak"),"216.","")</f>
        <v>216.</v>
      </c>
      <c r="B303" s="20" t="str">
        <f>IF(AND(C275="tak",C301="tak"),"Przycisk kasowania alarmu jest wewnątrz toalety, na wysokości w przedziale 0,8-1,1 m od podłogi.","")</f>
        <v>Przycisk kasowania alarmu jest wewnątrz toalety, na wysokości w przedziale 0,8-1,1 m od podłogi.</v>
      </c>
      <c r="C303" s="21" t="s">
        <v>9</v>
      </c>
      <c r="D303" s="22" t="str">
        <f>IF(AND(C275="tak",C301="tak",C303="nie"),"W opisie dostępności budynku podaj informację o umiejscowieniu i wysokości montażu przycisku kasowania alarmu.","")</f>
        <v>W opisie dostępności budynku podaj informację o umiejscowieniu i wysokości montażu przycisku kasowania alarmu.</v>
      </c>
      <c r="E303" s="22" t="str">
        <f>IF(AND(C275="tak",C301="tak",C303="nie"),"Podczas najbliższego remontu w łazience pamiętaj o odpowiednim montażu przycisku.","")</f>
        <v>Podczas najbliższego remontu w łazience pamiętaj o odpowiednim montażu przycisku.</v>
      </c>
    </row>
    <row r="305" spans="1:29" ht="21" x14ac:dyDescent="0.25">
      <c r="A305" s="30" t="s">
        <v>315</v>
      </c>
      <c r="B305" s="30"/>
      <c r="C305" s="30"/>
      <c r="D305" s="30"/>
      <c r="E305" s="30"/>
    </row>
    <row r="306" spans="1:29" x14ac:dyDescent="0.25">
      <c r="B306" s="5"/>
      <c r="D306" s="8"/>
    </row>
    <row r="307" spans="1:29" x14ac:dyDescent="0.25">
      <c r="A307" s="16"/>
      <c r="B307" s="17" t="s">
        <v>5</v>
      </c>
      <c r="C307" s="18" t="s">
        <v>6</v>
      </c>
      <c r="D307" s="17" t="s">
        <v>26</v>
      </c>
      <c r="E307" s="17" t="s">
        <v>27</v>
      </c>
    </row>
    <row r="308" spans="1:29" ht="113.45" customHeight="1" x14ac:dyDescent="0.25">
      <c r="A308" s="26" t="s">
        <v>316</v>
      </c>
      <c r="B308" s="27" t="s">
        <v>317</v>
      </c>
      <c r="C308" s="28" t="s">
        <v>8</v>
      </c>
      <c r="D308" s="22" t="str">
        <f>IF(C308="nie","W opisie dostępności budynku podaj informację o tym, że w budynku nie ma pomieszczenia z przewijakiem dla dzieci.","")</f>
        <v/>
      </c>
      <c r="E308" s="22" t="str">
        <f>IF(C308="nie",AC308,"")</f>
        <v/>
      </c>
      <c r="AC308" s="6" t="s">
        <v>318</v>
      </c>
    </row>
    <row r="309" spans="1:29" x14ac:dyDescent="0.25">
      <c r="A309" s="26"/>
      <c r="B309" s="27"/>
      <c r="C309" s="28"/>
      <c r="D309" s="29" t="str">
        <f>IF(C308="nie","Przejdź do kolejnej części (pytanie 227).","")</f>
        <v/>
      </c>
      <c r="E309" s="29"/>
    </row>
    <row r="310" spans="1:29" ht="47.25" x14ac:dyDescent="0.25">
      <c r="A310" s="19" t="str">
        <f>IF(C308="tak","218.","")</f>
        <v>218.</v>
      </c>
      <c r="B310" s="20" t="str">
        <f>IF($C$308="tak","Opuszczony przewijak jest na wysokości 0,8-1 m od podłogi a pod nim jest wolna przestrzeń na nogi osoby siedzącej (jak pod umywalką).","")</f>
        <v>Opuszczony przewijak jest na wysokości 0,8-1 m od podłogi a pod nim jest wolna przestrzeń na nogi osoby siedzącej (jak pod umywalką).</v>
      </c>
      <c r="C310" s="21" t="s">
        <v>9</v>
      </c>
      <c r="D310" s="22" t="str">
        <f>IF(AND($C$308="tak",C310="nie"),"W opisie dostępności budynku podaj informację o wysokości montażu przewijaka i przestrzeni pod nim – dodaj fotografię.","")</f>
        <v>W opisie dostępności budynku podaj informację o wysokości montażu przewijaka i przestrzeni pod nim – dodaj fotografię.</v>
      </c>
      <c r="E310" s="22" t="str">
        <f>IF(AND($C$308="tak",C310="nie"),"Zaplanuj montaż składanego przewijaka o odpowiednich wymiarach. Pamiętaj o zapewnieniu pod nim przestrzeni na nogi.","")</f>
        <v>Zaplanuj montaż składanego przewijaka o odpowiednich wymiarach. Pamiętaj o zapewnieniu pod nim przestrzeni na nogi.</v>
      </c>
    </row>
    <row r="311" spans="1:29" ht="47.25" x14ac:dyDescent="0.25">
      <c r="A311" s="19" t="str">
        <f>IF(C308="tak","219.","")</f>
        <v>219.</v>
      </c>
      <c r="B311" s="20" t="str">
        <f>IF($C$308="tak","Przewijak ma wymiary co najmniej 50 cm szerokości i 70 cm długości.","")</f>
        <v>Przewijak ma wymiary co najmniej 50 cm szerokości i 70 cm długości.</v>
      </c>
      <c r="C311" s="21" t="s">
        <v>9</v>
      </c>
      <c r="D311" s="22" t="str">
        <f>IF(AND($C$308="tak",C311="nie"),"W opisie dostępności budynku podaj informację o wielkości  przewijaka.","")</f>
        <v>W opisie dostępności budynku podaj informację o wielkości  przewijaka.</v>
      </c>
      <c r="E311" s="22" t="str">
        <f t="shared" ref="E311" si="0">IF(AND($C$308="tak",C311="nie"),"Zaplanuj montaż składanego przewijaka o odpowiednich wymiarach. Pamiętaj o zapewnieniu pod nim przestrzeni na nogi.","")</f>
        <v>Zaplanuj montaż składanego przewijaka o odpowiednich wymiarach. Pamiętaj o zapewnieniu pod nim przestrzeni na nogi.</v>
      </c>
    </row>
    <row r="312" spans="1:29" x14ac:dyDescent="0.25">
      <c r="A312" s="19" t="str">
        <f>IF(C308="tak","220.","")</f>
        <v>220.</v>
      </c>
      <c r="B312" s="20" t="str">
        <f>IF($C$308="tak","W pomieszczeniu z przewijakiem jest umywalka.","")</f>
        <v>W pomieszczeniu z przewijakiem jest umywalka.</v>
      </c>
      <c r="C312" s="21" t="s">
        <v>8</v>
      </c>
      <c r="D312" s="22" t="str">
        <f>IF(AND(C308="tak",C312="nie"),"Przejdź do pytania 225.","")</f>
        <v/>
      </c>
      <c r="E312" s="22"/>
    </row>
    <row r="313" spans="1:29" ht="111" customHeight="1" x14ac:dyDescent="0.25">
      <c r="A313" s="19" t="str">
        <f>IF(AND(C312="tak",C308="tak"),"221.","")</f>
        <v>221.</v>
      </c>
      <c r="B313" s="20" t="str">
        <f>IF(AND(C312="tak",C308="tak"),"Po obu stronach umywalki są pochwyty. ","")</f>
        <v xml:space="preserve">Po obu stronach umywalki są pochwyty. </v>
      </c>
      <c r="C313" s="21" t="s">
        <v>9</v>
      </c>
      <c r="D313" s="22" t="str">
        <f>IF(AND($C$308="tak",C312="tak",C313="nie"),"W opisie dostępności budynku podaj informację o ilości pochwytów w pomieszczeniu z przewijakiem – dodaj fotografię, na której będzie widać, po której stronie umywalki się znajdują.","")</f>
        <v>W opisie dostępności budynku podaj informację o ilości pochwytów w pomieszczeniu z przewijakiem – dodaj fotografię, na której będzie widać, po której stronie umywalki się znajdują.</v>
      </c>
      <c r="E313" s="22" t="str">
        <f>IF(AND($C$308="tak",C312="tak",C313="nie"),AC313,"")</f>
        <v>Koniecznie zamontuj pochwyty po lewej i prawej stronie umywalki. Sprawdź, czy możliwe i bezpieczne jest montowanie ich do ściany (jeśli to np. ściana wykończona zabudową z płyt gipsowo-kartonowych bez dodatkowego wzmocnienia, montaż może nie być możliwy), jeśli nie – wybierz pochwyty montowane do podłogi.</v>
      </c>
      <c r="AC313" s="6" t="s">
        <v>307</v>
      </c>
    </row>
    <row r="314" spans="1:29" ht="67.900000000000006" customHeight="1" x14ac:dyDescent="0.25">
      <c r="A314" s="19" t="str">
        <f>IF(AND(C312="tak",C308="tak"),"222.","")</f>
        <v>222.</v>
      </c>
      <c r="B314" s="20" t="str">
        <f>IF(AND(C312="tak",C308="tak"),"Pod umywalką zapewniona jest przestrzeń o wysokości co najmniej 70 cm (na nogi osoby na wózku).","")</f>
        <v>Pod umywalką zapewniona jest przestrzeń o wysokości co najmniej 70 cm (na nogi osoby na wózku).</v>
      </c>
      <c r="C314" s="21" t="s">
        <v>9</v>
      </c>
      <c r="D314" s="22" t="str">
        <f>IF(AND($C$308="tak",C312="tak",C314="nie"),"W opisie dostępności budynku podaj informację o wysokości wolnej przestrzeni pod umywalką – dodaj fotografię.","")</f>
        <v>W opisie dostępności budynku podaj informację o wysokości wolnej przestrzeni pod umywalką – dodaj fotografię.</v>
      </c>
      <c r="E314" s="22" t="str">
        <f>IF(AND($C$308="tak",C312="tak",C314="nie"),"Podczas najbliższego remontu pomieszczenia zadbaj o montaż umywalki niskosyfonowej na odpowiedniej wysokości (czyli z przestrzenią na nogi pod nią).","")</f>
        <v>Podczas najbliższego remontu pomieszczenia zadbaj o montaż umywalki niskosyfonowej na odpowiedniej wysokości (czyli z przestrzenią na nogi pod nią).</v>
      </c>
    </row>
    <row r="315" spans="1:29" ht="47.25" x14ac:dyDescent="0.25">
      <c r="A315" s="19" t="str">
        <f>IF(AND(C312="tak",C308="tak"),"223.","")</f>
        <v>223.</v>
      </c>
      <c r="B315" s="20" t="str">
        <f>IF(AND(C312="tak",C308="tak"),"Bateria umywalkowa jest automatyczna lub z przedłużonym uchwytem.","")</f>
        <v>Bateria umywalkowa jest automatyczna lub z przedłużonym uchwytem.</v>
      </c>
      <c r="C315" s="21" t="s">
        <v>9</v>
      </c>
      <c r="D315" s="22" t="str">
        <f>IF(AND($C$308="tak",C312="tak",C315="nie"),"W opisie dostępności dodaj fotografię baterii umywalkowej.","")</f>
        <v>W opisie dostępności dodaj fotografię baterii umywalkowej.</v>
      </c>
      <c r="E315" s="22" t="str">
        <f>IF(AND($C$308="tak",C312="tak",C315="nie"),"Wymień baterię na nową, automatyczną lub z przedłużonym uchwytem (najlepsza jest tzw. bateria chirurgiczna).","")</f>
        <v>Wymień baterię na nową, automatyczną lub z przedłużonym uchwytem (najlepsza jest tzw. bateria chirurgiczna).</v>
      </c>
    </row>
    <row r="316" spans="1:29" ht="63" x14ac:dyDescent="0.25">
      <c r="A316" s="19" t="str">
        <f>IF(AND(C312="tak",C308="tak"),"224.","")</f>
        <v>224.</v>
      </c>
      <c r="B316" s="20" t="str">
        <f>IF(AND(C312="tak",C308="tak"),"Bateria umywalkowa ma przedłużoną wylewkę.","")</f>
        <v>Bateria umywalkowa ma przedłużoną wylewkę.</v>
      </c>
      <c r="C316" s="21" t="s">
        <v>9</v>
      </c>
      <c r="D316" s="22" t="str">
        <f>IF(AND($C$308="tak",C312="tak",C316="nie"),"W opisie dostępności dodaj fotografię baterii umywalkowej.","")</f>
        <v>W opisie dostępności dodaj fotografię baterii umywalkowej.</v>
      </c>
      <c r="E316" s="22" t="str">
        <f>IF(AND($C$308="tak",C312="tak",C316="nie"),"Wymień baterię na nową, o przedłużonej wylewce. Wylewka powinna kończyć się w odległości mniejszej niż 30 cm od krawędzi umywalki.","")</f>
        <v>Wymień baterię na nową, o przedłużonej wylewce. Wylewka powinna kończyć się w odległości mniejszej niż 30 cm od krawędzi umywalki.</v>
      </c>
    </row>
    <row r="317" spans="1:29" ht="47.25" x14ac:dyDescent="0.25">
      <c r="A317" s="19" t="str">
        <f>IF(C308="tak","225.","")</f>
        <v>225.</v>
      </c>
      <c r="B317" s="20" t="str">
        <f>IF($C$308="tak","Wszystkie podajniki (papier toaletowy, mydło, ręczniki, suszarka do rąk) są na wysokości 0,8-1,1 m od podłogi.","")</f>
        <v>Wszystkie podajniki (papier toaletowy, mydło, ręczniki, suszarka do rąk) są na wysokości 0,8-1,1 m od podłogi.</v>
      </c>
      <c r="C317" s="21" t="s">
        <v>9</v>
      </c>
      <c r="D317" s="22" t="str">
        <f>IF(AND($C$308="tak",C317="nie"),"Przenieś podajniki i zamontuj je na odpowiedniej wysokości – w przedziale 0,8-1,1 m powyżej podłogi.","")</f>
        <v>Przenieś podajniki i zamontuj je na odpowiedniej wysokości – w przedziale 0,8-1,1 m powyżej podłogi.</v>
      </c>
      <c r="E317" s="22"/>
    </row>
    <row r="318" spans="1:29" ht="47.25" x14ac:dyDescent="0.25">
      <c r="A318" s="19" t="str">
        <f>IF(C308="tak","226.","")</f>
        <v>226.</v>
      </c>
      <c r="B318" s="20" t="str">
        <f>IF($C$308="tak","Włącznik światła w pomieszczeniu jest na wysokości 0,8-1,1 m albo światło uruchamia się automatycznie.","")</f>
        <v>Włącznik światła w pomieszczeniu jest na wysokości 0,8-1,1 m albo światło uruchamia się automatycznie.</v>
      </c>
      <c r="C318" s="21" t="s">
        <v>9</v>
      </c>
      <c r="D318" s="22" t="str">
        <f>IF(AND($C$308="tak",C318="nie"),"W opisie dostępności budynku podaj informację o wysokości, na jakiej znajduje się włączniki światła.","")</f>
        <v>W opisie dostępności budynku podaj informację o wysokości, na jakiej znajduje się włączniki światła.</v>
      </c>
      <c r="E318" s="22" t="str">
        <f>IF(AND($C$308="tak",C318="nie"),"Podczas najbliższego remontu w pomieszczeniu pamiętaj o odpowiednim montażu włącznika światła.","")</f>
        <v>Podczas najbliższego remontu w pomieszczeniu pamiętaj o odpowiednim montażu włącznika światła.</v>
      </c>
    </row>
    <row r="320" spans="1:29" ht="21" x14ac:dyDescent="0.25">
      <c r="A320" s="30" t="s">
        <v>319</v>
      </c>
      <c r="B320" s="30"/>
      <c r="C320" s="30"/>
      <c r="D320" s="30"/>
      <c r="E320" s="30"/>
    </row>
    <row r="321" spans="1:29" x14ac:dyDescent="0.25">
      <c r="B321" s="5"/>
      <c r="D321" s="8"/>
    </row>
    <row r="322" spans="1:29" x14ac:dyDescent="0.25">
      <c r="A322" s="16"/>
      <c r="B322" s="17" t="s">
        <v>5</v>
      </c>
      <c r="C322" s="18" t="s">
        <v>6</v>
      </c>
      <c r="D322" s="17" t="s">
        <v>26</v>
      </c>
      <c r="E322" s="17" t="s">
        <v>27</v>
      </c>
    </row>
    <row r="323" spans="1:29" ht="47.25" x14ac:dyDescent="0.25">
      <c r="A323" s="26" t="s">
        <v>320</v>
      </c>
      <c r="B323" s="27" t="s">
        <v>321</v>
      </c>
      <c r="C323" s="28" t="s">
        <v>8</v>
      </c>
      <c r="D323" s="22" t="str">
        <f>IF(C323="nie","W opisie dostępności budynku podaj informację o tym, że w budynku nie ma pomieszczenia z komfortką.",IF(C323="tak","W opisie dostępności budynku podaj informację o tym, że w budynku jest pomieszczenie z komfortką.",""))</f>
        <v>W opisie dostępności budynku podaj informację o tym, że w budynku jest pomieszczenie z komfortką.</v>
      </c>
      <c r="E323" s="22" t="str">
        <f>IF(C323="nie","Sprawdź, czy możliwe jest wyznaczenie i odpowiednie wyposażenie takiego pomieszczenia.","")</f>
        <v/>
      </c>
    </row>
    <row r="324" spans="1:29" x14ac:dyDescent="0.25">
      <c r="A324" s="26"/>
      <c r="B324" s="27"/>
      <c r="C324" s="28"/>
      <c r="D324" s="29" t="str">
        <f>IF(C323="nie","Przejdź do kolejnej części (pytanie 241).","")</f>
        <v/>
      </c>
      <c r="E324" s="29"/>
    </row>
    <row r="325" spans="1:29" ht="47.45" customHeight="1" x14ac:dyDescent="0.25">
      <c r="A325" s="19" t="str">
        <f>IF(C323="tak","228.","")</f>
        <v>228.</v>
      </c>
      <c r="B325" s="20" t="str">
        <f>IF(C323="tak","Opuszczone leże komfortki jest na wysokości 0,4-1 m powyżej podłogi.","")</f>
        <v>Opuszczone leże komfortki jest na wysokości 0,4-1 m powyżej podłogi.</v>
      </c>
      <c r="C325" s="21" t="s">
        <v>9</v>
      </c>
      <c r="D325" s="22" t="str">
        <f>IF(AND(C323="tak",C325="nie"),"W opisie dostępności budynku podaj informację o wysokości, na której znajduje się leże – dodaj fotografię.","")</f>
        <v>W opisie dostępności budynku podaj informację o wysokości, na której znajduje się leże – dodaj fotografię.</v>
      </c>
      <c r="E325" s="22"/>
    </row>
    <row r="326" spans="1:29" ht="36.6" customHeight="1" x14ac:dyDescent="0.25">
      <c r="A326" s="19" t="str">
        <f>IF(C323="tak","229.","")</f>
        <v>229.</v>
      </c>
      <c r="B326" s="20" t="str">
        <f>IF(C323="tak","Komfortka ma wymiary co najmniej 0,6 m szerokości i 1,6 m długości.","")</f>
        <v>Komfortka ma wymiary co najmniej 0,6 m szerokości i 1,6 m długości.</v>
      </c>
      <c r="C326" s="21" t="s">
        <v>9</v>
      </c>
      <c r="D326" s="22" t="str">
        <f>IF(AND(C323="tak",C326="nie"),"W opisie dostępności budynku podaj informację o wielkości komfortki.","")</f>
        <v>W opisie dostępności budynku podaj informację o wielkości komfortki.</v>
      </c>
      <c r="E326" s="22" t="str">
        <f>IF(AND($C$323="tak",C326="nie"),"Zaplanuj wstawienie komfortki/leżanki o wymiarach co najmniej 0,6 m szerokości i 1,6 m długości.","")</f>
        <v>Zaplanuj wstawienie komfortki/leżanki o wymiarach co najmniej 0,6 m szerokości i 1,6 m długości.</v>
      </c>
    </row>
    <row r="327" spans="1:29" x14ac:dyDescent="0.25">
      <c r="A327" s="19" t="str">
        <f>IF(C323="tak","230.","")</f>
        <v>230.</v>
      </c>
      <c r="B327" s="20" t="str">
        <f>IF(C323="tak","W pomieszczeniu jest miska ustępowa.","")</f>
        <v>W pomieszczeniu jest miska ustępowa.</v>
      </c>
      <c r="C327" s="21" t="s">
        <v>8</v>
      </c>
      <c r="D327" s="22" t="str">
        <f>IF(AND(C323="tak",C327="nie"),"Przejdź do pytania 235.","")</f>
        <v/>
      </c>
      <c r="E327" s="22"/>
    </row>
    <row r="328" spans="1:29" ht="111" customHeight="1" x14ac:dyDescent="0.25">
      <c r="A328" s="19" t="str">
        <f>IF(AND(C323="tak",C327="tak"),"231.","")</f>
        <v>231.</v>
      </c>
      <c r="B328" s="20" t="str">
        <f>IF(AND(C323="tak",C327="tak"),"Co najmniej z jednej strony miski ustępowej jest miejsce do przesiadania się o szerokości nie mniejszej niż 90 cm.","")</f>
        <v>Co najmniej z jednej strony miski ustępowej jest miejsce do przesiadania się o szerokości nie mniejszej niż 90 cm.</v>
      </c>
      <c r="C328" s="21" t="s">
        <v>9</v>
      </c>
      <c r="D328" s="22" t="str">
        <f>IF(AND(C323="tak",C327="tak",C328="nie"),"W opisie dostępności budynku podaj informację o wielkości przestrzeni transferu na miskę ustępową – dodaj fotografię.","")</f>
        <v>W opisie dostępności budynku podaj informację o wielkości przestrzeni transferu na miskę ustępową – dodaj fotografię.</v>
      </c>
      <c r="E328" s="22" t="str">
        <f>IF(AND(C323="tak",C327="tak",C328="nie"),AC328,"")</f>
        <v>Sprawdź, czy możliwa jest albo przebudowa pomieszczenia. Jeśli tak, zaplanuj takie prace. Pamiętaj o rozplanowaniu jego układu w taki sposób, by możliwe było  manewrowanie wózkiem (przestrzeń 1,5 x 1,5 m) i przesiadanie się na miskę ustępową (przestrzeń obok niej o szerokości co najmniej 90 cm) oraz na komfortkę.</v>
      </c>
      <c r="AC328" s="15" t="s">
        <v>322</v>
      </c>
    </row>
    <row r="329" spans="1:29" ht="115.15" customHeight="1" x14ac:dyDescent="0.25">
      <c r="A329" s="19" t="str">
        <f>IF(AND(C323="tak",C327="tak"),"232.","")</f>
        <v>232.</v>
      </c>
      <c r="B329" s="20" t="str">
        <f>IF(AND(C323="tak",C327="tak"),"Po obu stronach miski ustępowej są pochwyty.","")</f>
        <v>Po obu stronach miski ustępowej są pochwyty.</v>
      </c>
      <c r="C329" s="21" t="s">
        <v>9</v>
      </c>
      <c r="D329" s="22" t="str">
        <f>IF(AND(C323="tak",C327="tak",C329="nie"),"W opisie dostępności budynku podaj informację o ilości pochwytów przy misce – dodaj fotografię, na której będzie widać, gdzie się znajdują.","")</f>
        <v>W opisie dostępności budynku podaj informację o ilości pochwytów przy misce – dodaj fotografię, na której będzie widać, gdzie się znajdują.</v>
      </c>
      <c r="E329" s="22" t="str">
        <f>IF(AND(C323="tak",C327="tak",C329="nie"),AC329,"")</f>
        <v>Koniecznie zamontuj pochwyty po lewej i prawej stronie miski ustępowej. Sprawdź, czy możliwe i bezpieczne jest montowanie ich do ściany (jeśli to np. ściana wykończona zabudową z płyt gipsowo-kartonowych bez dodatkowego wzmocnienia, montaż może nie być możliwy), jeśli nie – wybierz pochwyty montowane do podłogi.</v>
      </c>
      <c r="AC329" s="15" t="s">
        <v>306</v>
      </c>
    </row>
    <row r="330" spans="1:29" ht="47.25" x14ac:dyDescent="0.25">
      <c r="A330" s="19" t="str">
        <f>IF(AND(C323="tak",C327="tak"),"233.","")</f>
        <v>233.</v>
      </c>
      <c r="B330" s="20" t="str">
        <f>IF(AND(C323="tak",C327="tak"),"Siedzisko miski ustępowej jest na wysokości 45-50 cm.","")</f>
        <v>Siedzisko miski ustępowej jest na wysokości 45-50 cm.</v>
      </c>
      <c r="C330" s="21" t="s">
        <v>9</v>
      </c>
      <c r="D330" s="22" t="str">
        <f>IF(AND(C323="tak",C327="tak",C330="nie"),"W opisie dostępności budynku podaj informację o wysokości siedziska miski ustępowej – dodaj fotografię.","")</f>
        <v>W opisie dostępności budynku podaj informację o wysokości siedziska miski ustępowej – dodaj fotografię.</v>
      </c>
      <c r="E330" s="22" t="str">
        <f>IF(AND(C323="tak",C327="tak",C330="nie"),"Podczas najbliższego remontu pomieszczenia zadbaj o montaż miski ustępowej na wysokości 45-50 cm powyżej podłogi.","")</f>
        <v>Podczas najbliższego remontu pomieszczenia zadbaj o montaż miski ustępowej na wysokości 45-50 cm powyżej podłogi.</v>
      </c>
    </row>
    <row r="331" spans="1:29" ht="47.25" x14ac:dyDescent="0.25">
      <c r="A331" s="19" t="str">
        <f>IF(AND(C323="tak",C327="tak"),"234.","")</f>
        <v>234.</v>
      </c>
      <c r="B331" s="20" t="str">
        <f>IF(AND(C323="tak",C327="tak"),"Miska ustępowa jest dłuższa niż standardowa (ma 70 cm długości).","")</f>
        <v>Miska ustępowa jest dłuższa niż standardowa (ma 70 cm długości).</v>
      </c>
      <c r="C331" s="21" t="s">
        <v>9</v>
      </c>
      <c r="D331" s="22" t="str">
        <f>IF(AND(C323="tak",C327="tak",C331="nie"),"W opisie dostępności budynku podaj informację o długości miski ustępowej – dodaj fotografię.","")</f>
        <v>W opisie dostępności budynku podaj informację o długości miski ustępowej – dodaj fotografię.</v>
      </c>
      <c r="E331" s="22" t="str">
        <f>IF(AND(C323="tak",C327="tak",C331="nie"),"Podczas najbliższego remontu pomieszczenia zadbaj o montaż miski ustępowej o odpowiedniej długości.","")</f>
        <v>Podczas najbliższego remontu pomieszczenia zadbaj o montaż miski ustępowej o odpowiedniej długości.</v>
      </c>
    </row>
    <row r="332" spans="1:29" x14ac:dyDescent="0.25">
      <c r="A332" s="19" t="str">
        <f>IF(C323="tak","235.","")</f>
        <v>235.</v>
      </c>
      <c r="B332" s="20" t="str">
        <f>IF(C323="tak","W pomieszczeniu jest umywalka.","")</f>
        <v>W pomieszczeniu jest umywalka.</v>
      </c>
      <c r="C332" s="21" t="s">
        <v>8</v>
      </c>
      <c r="D332" s="22" t="str">
        <f>IF(AND(C323="tak",C332="nie"),"Przejdź do pytania 240.","")</f>
        <v/>
      </c>
      <c r="E332" s="22"/>
    </row>
    <row r="333" spans="1:29" ht="112.9" customHeight="1" x14ac:dyDescent="0.25">
      <c r="A333" s="19" t="str">
        <f>IF(AND(C323="tak",C332="tak"),"236.","")</f>
        <v>236.</v>
      </c>
      <c r="B333" s="20" t="str">
        <f>IF(AND(C323="tak",C332="tak"),"Po obu stronach umywalki są pochwyty.","")</f>
        <v>Po obu stronach umywalki są pochwyty.</v>
      </c>
      <c r="C333" s="21" t="s">
        <v>9</v>
      </c>
      <c r="D333" s="22" t="str">
        <f>IF(AND(C323="tak",C332="tak",C333="nie"),"W opisie dostępności budynku podaj informację o ilości pochwytów przy umywalce – dodaj fotografię, na której będzie widać, gdzie się znajdują.","")</f>
        <v>W opisie dostępności budynku podaj informację o ilości pochwytów przy umywalce – dodaj fotografię, na której będzie widać, gdzie się znajdują.</v>
      </c>
      <c r="E333" s="22" t="str">
        <f>IF(AND(C323="tak",C332="tak",C333="nie"),AC333,"")</f>
        <v>Koniecznie zamontuj pochwyty po lewej i prawej stronie umywalki. Sprawdź, czy możliwe i bezpieczne jest montowanie ich do ściany (jeśli to np. ściana wykończona zabudową z płyt gipsowo-kartonowych bez dodatkowego wzmocnienia, montaż może nie być możliwy), jeśli nie – wybierz pochwyty montowane do podłogi.</v>
      </c>
      <c r="AC333" s="12" t="s">
        <v>307</v>
      </c>
    </row>
    <row r="334" spans="1:29" ht="63" x14ac:dyDescent="0.25">
      <c r="A334" s="19" t="str">
        <f>IF(AND(C323="tak",C332="tak"),"237.","")</f>
        <v>237.</v>
      </c>
      <c r="B334" s="20" t="str">
        <f>IF(AND(C323="tak",C332="tak"),"Pod umywalką zapewniona jest przestrzeń o wysokości co najmniej 70 cm (na nogi osoby na wózku).","")</f>
        <v>Pod umywalką zapewniona jest przestrzeń o wysokości co najmniej 70 cm (na nogi osoby na wózku).</v>
      </c>
      <c r="C334" s="21" t="s">
        <v>9</v>
      </c>
      <c r="D334" s="22" t="str">
        <f>IF(AND(C323="tak",C332="tak",C334="nie"),"W opisie dostępności budynku podaj informację o wysokości wolnej przestrzeni pod umywalką – dodaj fotografię.","")</f>
        <v>W opisie dostępności budynku podaj informację o wysokości wolnej przestrzeni pod umywalką – dodaj fotografię.</v>
      </c>
      <c r="E334" s="22" t="str">
        <f>IF(AND(C323="tak",C332="tak",C334="nie"),"Podczas najbliższego remontu pomieszczenia zadbaj o montaż umywalki niskosyfonowej na odpowiedniej wysokości (czyli z przestrzenią na nogi pod nią).","")</f>
        <v>Podczas najbliższego remontu pomieszczenia zadbaj o montaż umywalki niskosyfonowej na odpowiedniej wysokości (czyli z przestrzenią na nogi pod nią).</v>
      </c>
    </row>
    <row r="335" spans="1:29" ht="47.25" x14ac:dyDescent="0.25">
      <c r="A335" s="19" t="str">
        <f>IF(AND(C323="tak",C332="tak"),"238.","")</f>
        <v>238.</v>
      </c>
      <c r="B335" s="20" t="str">
        <f>IF(AND(C323="tak",C332="tak"),"Bateria umywalkowa jest automatyczna lub z przedłużonym uchwytem.","")</f>
        <v>Bateria umywalkowa jest automatyczna lub z przedłużonym uchwytem.</v>
      </c>
      <c r="C335" s="21" t="s">
        <v>9</v>
      </c>
      <c r="D335" s="22" t="str">
        <f>IF(AND(C323="tak",C332="tak",C335="nie"),"W opisie dostępności dodaj fotografię baterii umywalkowej.","")</f>
        <v>W opisie dostępności dodaj fotografię baterii umywalkowej.</v>
      </c>
      <c r="E335" s="22" t="str">
        <f>IF(AND(C323="tak",C332="tak",C335="nie"),"Wymień baterię na nową, automatyczną lub z przedłużonym uchwytem (najlepsza jest tzw. bateria chirurgiczna).","")</f>
        <v>Wymień baterię na nową, automatyczną lub z przedłużonym uchwytem (najlepsza jest tzw. bateria chirurgiczna).</v>
      </c>
    </row>
    <row r="336" spans="1:29" ht="63" x14ac:dyDescent="0.25">
      <c r="A336" s="19" t="str">
        <f>IF(AND(C323="tak",C332="tak"),"239.","")</f>
        <v>239.</v>
      </c>
      <c r="B336" s="20" t="str">
        <f>IF(AND(C323="tak",C332="tak"),"Bateria umywalkowa ma przedłużoną wylewkę.","")</f>
        <v>Bateria umywalkowa ma przedłużoną wylewkę.</v>
      </c>
      <c r="C336" s="21" t="s">
        <v>9</v>
      </c>
      <c r="D336" s="22" t="str">
        <f>IF(AND(C323="tak",C332="tak",C336="nie"),"W opisie dostępności dodaj fotografię baterii umywalkowej.","")</f>
        <v>W opisie dostępności dodaj fotografię baterii umywalkowej.</v>
      </c>
      <c r="E336" s="22" t="str">
        <f>IF(AND(C323="tak",C332="tak",C336="nie"),"Wymień baterię na nową, o przedłużonej wylewce. Wylewka powinna kończyć się w odległości mniejszej niż 30 cm od krawędzi umywalki.","")</f>
        <v>Wymień baterię na nową, o przedłużonej wylewce. Wylewka powinna kończyć się w odległości mniejszej niż 30 cm od krawędzi umywalki.</v>
      </c>
    </row>
    <row r="337" spans="1:29" ht="47.25" x14ac:dyDescent="0.25">
      <c r="A337" s="19" t="str">
        <f>IF(C323="tak","240.","")</f>
        <v>240.</v>
      </c>
      <c r="B337" s="20" t="str">
        <f>IF(C323="tak","Wszystkie podajniki (papier toaletowy, mydło, ręczniki, suszarka do rąk) są na wysokości 0,8-1,1 m od podłogi.","")</f>
        <v>Wszystkie podajniki (papier toaletowy, mydło, ręczniki, suszarka do rąk) są na wysokości 0,8-1,1 m od podłogi.</v>
      </c>
      <c r="C337" s="21" t="s">
        <v>9</v>
      </c>
      <c r="D337" s="22" t="str">
        <f>IF(AND(C323="tak",C337="nie"),"Przenieś podajniki i zamontuj je na odpowiedniej wysokości – w przedziale 0,8-1,1 m powyżej podłogi.","")</f>
        <v>Przenieś podajniki i zamontuj je na odpowiedniej wysokości – w przedziale 0,8-1,1 m powyżej podłogi.</v>
      </c>
      <c r="E337" s="22"/>
    </row>
    <row r="339" spans="1:29" ht="21" x14ac:dyDescent="0.25">
      <c r="A339" s="30" t="s">
        <v>323</v>
      </c>
      <c r="B339" s="30"/>
      <c r="C339" s="30"/>
      <c r="D339" s="30"/>
      <c r="E339" s="30"/>
    </row>
    <row r="340" spans="1:29" x14ac:dyDescent="0.25">
      <c r="B340" s="5"/>
      <c r="D340" s="8"/>
    </row>
    <row r="341" spans="1:29" x14ac:dyDescent="0.25">
      <c r="A341" s="16"/>
      <c r="B341" s="17" t="s">
        <v>5</v>
      </c>
      <c r="C341" s="18" t="s">
        <v>6</v>
      </c>
      <c r="D341" s="17" t="s">
        <v>26</v>
      </c>
      <c r="E341" s="17" t="s">
        <v>27</v>
      </c>
    </row>
    <row r="342" spans="1:29" ht="47.25" x14ac:dyDescent="0.25">
      <c r="A342" s="19" t="s">
        <v>324</v>
      </c>
      <c r="B342" s="20" t="s">
        <v>330</v>
      </c>
      <c r="C342" s="21" t="s">
        <v>9</v>
      </c>
      <c r="D342" s="22" t="str">
        <f>IF(C342="nie","Zamów i zamontuj na ścianie odpowiednie oznaczenia dróg ewakuacji.","")</f>
        <v>Zamów i zamontuj na ścianie odpowiednie oznaczenia dróg ewakuacji.</v>
      </c>
      <c r="E342" s="22"/>
    </row>
    <row r="343" spans="1:29" ht="66" customHeight="1" x14ac:dyDescent="0.25">
      <c r="A343" s="19" t="s">
        <v>325</v>
      </c>
      <c r="B343" s="20" t="s">
        <v>331</v>
      </c>
      <c r="C343" s="21" t="s">
        <v>9</v>
      </c>
      <c r="D343" s="22" t="str">
        <f>IF(C343="tak","W opisie dostępności budynku podaj informację o tym, gdzie dokładnie znajduje się plan ewakuacji.",IF(C343="nie","Jeśli dla budynku została sporządzona Instrukcja Bezpieczeństwa Pożarowego, jest w niej plan ewakuacji. Wydrukuj go lub skseruj i powieś w widocznym miejscu na każdej kondygnacji.",""))</f>
        <v>Jeśli dla budynku została sporządzona Instrukcja Bezpieczeństwa Pożarowego, jest w niej plan ewakuacji. Wydrukuj go lub skseruj i powieś w widocznym miejscu na każdej kondygnacji.</v>
      </c>
      <c r="E343" s="22"/>
    </row>
    <row r="344" spans="1:29" ht="81" customHeight="1" x14ac:dyDescent="0.25">
      <c r="A344" s="19" t="s">
        <v>326</v>
      </c>
      <c r="B344" s="20" t="s">
        <v>332</v>
      </c>
      <c r="C344" s="21" t="s">
        <v>9</v>
      </c>
      <c r="D344" s="22" t="str">
        <f>IF(C344="tak","W opisie dostępności budynku podaj informację o tym, gdzie dokładnie znajduje się dotykowy plan ewakuacji (np. czy jest w pokojach, w holu, dostępny na życzenie klienta itp.).","")</f>
        <v/>
      </c>
      <c r="E344" s="22" t="str">
        <f>IF(C344="nie","Zastanów się, czy możesz wykonać dotykowy plan ewakuacji. W tym celu skontaktuj się np. z lokalnym oddziałem Polskiego Związku Niewidomych – być może będą mogli wykonać dla Ciebie plan ewakuacji w technologii wydruku wygrzewanego.","")</f>
        <v>Zastanów się, czy możesz wykonać dotykowy plan ewakuacji. W tym celu skontaktuj się np. z lokalnym oddziałem Polskiego Związku Niewidomych – być może będą mogli wykonać dla Ciebie plan ewakuacji w technologii wydruku wygrzewanego.</v>
      </c>
    </row>
    <row r="345" spans="1:29" ht="78.75" x14ac:dyDescent="0.25">
      <c r="A345" s="19" t="s">
        <v>327</v>
      </c>
      <c r="B345" s="20" t="s">
        <v>333</v>
      </c>
      <c r="C345" s="21" t="s">
        <v>9</v>
      </c>
      <c r="D345" s="22" t="str">
        <f>IF(C345="tak","W opisie dostępności budynku podaj informację o rodzajach alarmów (dźwiękowy, świetlny).",IF(C345="nie",AC345,""))</f>
        <v>W opisie dostępności budynku podaj informację o rodzajach alarmów (dźwiękowy, świetlny) lub ich braku. Podaj też informację, jak – w przypadku braku alarmu – o zagrożeniu powiadamiani są klienci/goście.</v>
      </c>
      <c r="E345" s="22"/>
      <c r="AC345" s="15" t="s">
        <v>334</v>
      </c>
    </row>
    <row r="346" spans="1:29" ht="79.900000000000006" customHeight="1" x14ac:dyDescent="0.25">
      <c r="A346" s="19" t="s">
        <v>328</v>
      </c>
      <c r="B346" s="20" t="s">
        <v>335</v>
      </c>
      <c r="C346" s="21" t="s">
        <v>9</v>
      </c>
      <c r="D346" s="22" t="str">
        <f>IF(C346="tak","W opisie dostępności budynku podaj informację o rodzajach alarmów (dźwiękowy, świetlny).",IF(C346="nie",AC346,""))</f>
        <v>W opisie dostępności budynku podaj informację o rodzajach alarmów (dźwiękowy, świetlny) lub ich braku. Podaj też informację, jak – w przypadku braku alarmu – o zagrożeniu powiadamiani są klienci/goście.</v>
      </c>
      <c r="E346" s="22"/>
      <c r="AC346" s="6" t="s">
        <v>334</v>
      </c>
    </row>
    <row r="347" spans="1:29" x14ac:dyDescent="0.25">
      <c r="A347" s="19" t="s">
        <v>329</v>
      </c>
      <c r="B347" s="20" t="s">
        <v>336</v>
      </c>
      <c r="C347" s="21" t="s">
        <v>8</v>
      </c>
      <c r="D347" s="22" t="str">
        <f>IF(C347="nie","Przejdź na koniec ankiety.","")</f>
        <v/>
      </c>
      <c r="E347" s="22"/>
    </row>
    <row r="348" spans="1:29" ht="47.25" x14ac:dyDescent="0.25">
      <c r="A348" s="19" t="str">
        <f>IF(C347="tak","247.","")</f>
        <v>247.</v>
      </c>
      <c r="B348" s="20" t="str">
        <f>IF(C347="tak","W budynku wyznaczono miejsce oczekiwania na ewakuację dla osób, które same nie mogą go opuścić.","")</f>
        <v>W budynku wyznaczono miejsce oczekiwania na ewakuację dla osób, które same nie mogą go opuścić.</v>
      </c>
      <c r="C348" s="21" t="s">
        <v>9</v>
      </c>
      <c r="D348" s="22" t="str">
        <f>IF(AND(C347="tak",C348="tak"),"W opisie dostępności budynku podaj informację o tym, gdzie dokładnie znajduje się miejsce oczekiwania na ewakuację. Powinno być ono oznaczone także na planach ewakuacji (graficznym i dotykowym).",IF(AND(C347="tak",C348="nie"),AC348,""))</f>
        <v>W opisie dostępności budynku podaj informację o tym, jak wygląda procedura ewakuacji klientów/gości z wyższych kondygnacji.</v>
      </c>
      <c r="E348" s="22"/>
      <c r="AC348" s="6" t="s">
        <v>337</v>
      </c>
    </row>
    <row r="349" spans="1:29" ht="132.6" customHeight="1" x14ac:dyDescent="0.25">
      <c r="A349" s="19" t="str">
        <f>IF(C347="tak","248.","")</f>
        <v>248.</v>
      </c>
      <c r="B349" s="20" t="str">
        <f>IF(C347="tak","W budynku są urządzenia ewakuacyjne do transportu osób z niepełnosprawnościami, kobiet w ciąży, osób starszych – wózki/krzesła,  materace albo krzesełka transportowe-płachtowe.","")</f>
        <v>W budynku są urządzenia ewakuacyjne do transportu osób z niepełnosprawnościami, kobiet w ciąży, osób starszych – wózki/krzesła,  materace albo krzesełka transportowe-płachtowe.</v>
      </c>
      <c r="C349" s="21" t="s">
        <v>9</v>
      </c>
      <c r="D349" s="22" t="str">
        <f>IF(AND(C347="tak",C349="tak"),"W opisie dostępności budynku podaj informację o rodzaju i ilości sprzętu w budynku. Każdy z nich powinien zostać też oznaczony na planach ewakuacji (graficznym i dotykowym).",IF(AND(C347="tak",C349="nie"),AC349,""))</f>
        <v>W opisie dostępności budynku podaj informację o tym, jak wygląda procedura ewakuacji klientów/gości z wyższych kondygnacji.</v>
      </c>
      <c r="E349" s="22" t="str">
        <f>IF(AND(C347="tak",C349="nie"),AC350,"")</f>
        <v>Zastanów się nad możliwością zakupu krzeseł/wózków, materacy lub krzesełek transportowych-płachtowych. Podczas doboru sprzętu weź pod uwagę ilość kondygnacji i wielkość budynku, rodzaj schodów w nim i ilość osób do potencjalnej obsługi sprzętu. Pamiętaj też, że pracownicy obsługujący sprzęt muszą zostać do tego przeszkoleni.</v>
      </c>
      <c r="AC349" s="15" t="s">
        <v>337</v>
      </c>
    </row>
    <row r="350" spans="1:29" x14ac:dyDescent="0.25">
      <c r="AC350" s="15" t="s">
        <v>338</v>
      </c>
    </row>
  </sheetData>
  <mergeCells count="42">
    <mergeCell ref="A339:E339"/>
    <mergeCell ref="A3:E3"/>
    <mergeCell ref="A11:E11"/>
    <mergeCell ref="A122:E122"/>
    <mergeCell ref="A137:E137"/>
    <mergeCell ref="A159:E159"/>
    <mergeCell ref="A54:E54"/>
    <mergeCell ref="A68:E68"/>
    <mergeCell ref="D36:E36"/>
    <mergeCell ref="A38:E38"/>
    <mergeCell ref="A20:E20"/>
    <mergeCell ref="A30:E30"/>
    <mergeCell ref="A80:E80"/>
    <mergeCell ref="A102:E102"/>
    <mergeCell ref="D109:E109"/>
    <mergeCell ref="A117:E117"/>
    <mergeCell ref="A205:E205"/>
    <mergeCell ref="A214:E214"/>
    <mergeCell ref="A232:E232"/>
    <mergeCell ref="A171:E171"/>
    <mergeCell ref="A185:E185"/>
    <mergeCell ref="A195:E195"/>
    <mergeCell ref="A245:E245"/>
    <mergeCell ref="A248:A249"/>
    <mergeCell ref="B248:B249"/>
    <mergeCell ref="C248:C249"/>
    <mergeCell ref="D249:E249"/>
    <mergeCell ref="A272:E272"/>
    <mergeCell ref="A275:A276"/>
    <mergeCell ref="B275:B276"/>
    <mergeCell ref="C275:C276"/>
    <mergeCell ref="D276:E276"/>
    <mergeCell ref="A305:E305"/>
    <mergeCell ref="A308:A309"/>
    <mergeCell ref="B308:B309"/>
    <mergeCell ref="C308:C309"/>
    <mergeCell ref="D309:E309"/>
    <mergeCell ref="A323:A324"/>
    <mergeCell ref="B323:B324"/>
    <mergeCell ref="C323:C324"/>
    <mergeCell ref="D324:E324"/>
    <mergeCell ref="A320:E320"/>
  </mergeCells>
  <phoneticPr fontId="5" type="noConversion"/>
  <conditionalFormatting sqref="A218:B230 D218:E230">
    <cfRule type="expression" dxfId="390" priority="205">
      <formula>$C$217="nie"</formula>
    </cfRule>
  </conditionalFormatting>
  <conditionalFormatting sqref="A220:B222 D220:E222">
    <cfRule type="expression" dxfId="389" priority="216">
      <formula>$C$219="nie"</formula>
    </cfRule>
  </conditionalFormatting>
  <conditionalFormatting sqref="A224:B224 D224:E224">
    <cfRule type="expression" dxfId="388" priority="213">
      <formula>$C$223="nie"</formula>
    </cfRule>
  </conditionalFormatting>
  <conditionalFormatting sqref="A226:B226 D226:E226">
    <cfRule type="expression" dxfId="387" priority="212">
      <formula>$C$225="nie"</formula>
    </cfRule>
  </conditionalFormatting>
  <conditionalFormatting sqref="A228:B228 D228:E228">
    <cfRule type="expression" dxfId="386" priority="204">
      <formula>$C$227="nie"</formula>
    </cfRule>
  </conditionalFormatting>
  <conditionalFormatting sqref="A230:B230 D230:E230">
    <cfRule type="expression" dxfId="385" priority="190">
      <formula>$C$229="nie"</formula>
    </cfRule>
  </conditionalFormatting>
  <conditionalFormatting sqref="A72:E72">
    <cfRule type="expression" dxfId="384" priority="423">
      <formula>$C$71=$AC$71</formula>
    </cfRule>
  </conditionalFormatting>
  <conditionalFormatting sqref="A73:E73">
    <cfRule type="expression" dxfId="383" priority="418">
      <formula>$C$71=$AC$70</formula>
    </cfRule>
  </conditionalFormatting>
  <conditionalFormatting sqref="A163:E163">
    <cfRule type="expression" dxfId="382" priority="299">
      <formula>$C$162=$AC$162</formula>
    </cfRule>
  </conditionalFormatting>
  <conditionalFormatting sqref="A164:E164">
    <cfRule type="expression" dxfId="381" priority="294">
      <formula>$C$162=$AC$161</formula>
    </cfRule>
  </conditionalFormatting>
  <conditionalFormatting sqref="A177:E177">
    <cfRule type="expression" dxfId="380" priority="271">
      <formula>$C$176="tak"</formula>
    </cfRule>
  </conditionalFormatting>
  <conditionalFormatting sqref="A183:E183">
    <cfRule type="expression" dxfId="379" priority="1">
      <formula>$C$182="nie dotyczy (nie ma żadnych wycieraczek, wykładzin i dywanów)"</formula>
    </cfRule>
  </conditionalFormatting>
  <conditionalFormatting sqref="A189:E193">
    <cfRule type="expression" dxfId="378" priority="240">
      <formula>$C$188="nie"</formula>
    </cfRule>
  </conditionalFormatting>
  <conditionalFormatting sqref="A199:E203">
    <cfRule type="expression" dxfId="377" priority="239">
      <formula>$C$198="nie"</formula>
    </cfRule>
  </conditionalFormatting>
  <conditionalFormatting sqref="A209:E212">
    <cfRule type="expression" dxfId="376" priority="237">
      <formula>$C$208="nie"</formula>
    </cfRule>
  </conditionalFormatting>
  <conditionalFormatting sqref="A211:E212">
    <cfRule type="expression" dxfId="375" priority="236">
      <formula>$C$210="nie"</formula>
    </cfRule>
  </conditionalFormatting>
  <conditionalFormatting sqref="A250:E270">
    <cfRule type="expression" dxfId="374" priority="171">
      <formula>$C$248="nie"</formula>
    </cfRule>
  </conditionalFormatting>
  <conditionalFormatting sqref="A269:E270">
    <cfRule type="expression" dxfId="373" priority="169">
      <formula>$C$268="nie"</formula>
    </cfRule>
  </conditionalFormatting>
  <conditionalFormatting sqref="A277:E303">
    <cfRule type="expression" dxfId="372" priority="105">
      <formula>$C$275="nie"</formula>
    </cfRule>
  </conditionalFormatting>
  <conditionalFormatting sqref="A293:E293">
    <cfRule type="expression" dxfId="371" priority="104">
      <formula>$C$292="nie"</formula>
    </cfRule>
  </conditionalFormatting>
  <conditionalFormatting sqref="A302:E303">
    <cfRule type="expression" dxfId="370" priority="101">
      <formula>$C$301="nie"</formula>
    </cfRule>
  </conditionalFormatting>
  <conditionalFormatting sqref="A310:E318">
    <cfRule type="expression" dxfId="369" priority="54">
      <formula>$C$308="nie"</formula>
    </cfRule>
  </conditionalFormatting>
  <conditionalFormatting sqref="A313:E316">
    <cfRule type="expression" dxfId="368" priority="64">
      <formula>$C$312="nie"</formula>
    </cfRule>
  </conditionalFormatting>
  <conditionalFormatting sqref="A325:E337">
    <cfRule type="expression" dxfId="367" priority="36">
      <formula>$C$323="nie"</formula>
    </cfRule>
  </conditionalFormatting>
  <conditionalFormatting sqref="A328:E331">
    <cfRule type="expression" dxfId="366" priority="39">
      <formula>$C$327="nie"</formula>
    </cfRule>
  </conditionalFormatting>
  <conditionalFormatting sqref="A333:E336">
    <cfRule type="expression" dxfId="365" priority="35">
      <formula>$C$332="nie"</formula>
    </cfRule>
  </conditionalFormatting>
  <conditionalFormatting sqref="A348:E349">
    <cfRule type="expression" dxfId="364" priority="15">
      <formula>$C$347="nie"</formula>
    </cfRule>
  </conditionalFormatting>
  <conditionalFormatting sqref="C310:C318">
    <cfRule type="expression" dxfId="363" priority="70">
      <formula>$C$301="nie"</formula>
    </cfRule>
    <cfRule type="expression" dxfId="362" priority="71">
      <formula>$C$275="nie"</formula>
    </cfRule>
  </conditionalFormatting>
  <conditionalFormatting sqref="C342:C349">
    <cfRule type="expression" dxfId="361" priority="19">
      <formula>$C$323="nie"</formula>
    </cfRule>
  </conditionalFormatting>
  <conditionalFormatting sqref="D23">
    <cfRule type="expression" dxfId="360" priority="460">
      <formula>$C$23="tak"</formula>
    </cfRule>
  </conditionalFormatting>
  <conditionalFormatting sqref="D50">
    <cfRule type="expression" dxfId="359" priority="429">
      <formula>$C$50="nie"</formula>
    </cfRule>
  </conditionalFormatting>
  <conditionalFormatting sqref="D51">
    <cfRule type="expression" dxfId="358" priority="428">
      <formula>$C$51="nie"</formula>
    </cfRule>
  </conditionalFormatting>
  <conditionalFormatting sqref="D52">
    <cfRule type="expression" dxfId="357" priority="469">
      <formula>$C$52=$AC$53</formula>
    </cfRule>
    <cfRule type="expression" dxfId="356" priority="470">
      <formula>$C$52=$AC$52</formula>
    </cfRule>
    <cfRule type="expression" dxfId="355" priority="471">
      <formula>$C$52=$AC$51</formula>
    </cfRule>
  </conditionalFormatting>
  <conditionalFormatting sqref="D65">
    <cfRule type="expression" dxfId="354" priority="384">
      <formula>$C$65="nie"</formula>
    </cfRule>
  </conditionalFormatting>
  <conditionalFormatting sqref="D66">
    <cfRule type="expression" dxfId="353" priority="383">
      <formula>$C$66="nie"</formula>
    </cfRule>
  </conditionalFormatting>
  <conditionalFormatting sqref="D85">
    <cfRule type="expression" dxfId="352" priority="372">
      <formula>$C$85="nie"</formula>
    </cfRule>
  </conditionalFormatting>
  <conditionalFormatting sqref="D94">
    <cfRule type="expression" dxfId="351" priority="368">
      <formula>$C$94="nie"</formula>
    </cfRule>
  </conditionalFormatting>
  <conditionalFormatting sqref="D120">
    <cfRule type="expression" dxfId="350" priority="374">
      <formula>$C$120="tak"</formula>
    </cfRule>
    <cfRule type="expression" dxfId="349" priority="373">
      <formula>$C$120="nie"</formula>
    </cfRule>
  </conditionalFormatting>
  <conditionalFormatting sqref="D133">
    <cfRule type="expression" dxfId="348" priority="336">
      <formula>$C$133="nie"</formula>
    </cfRule>
  </conditionalFormatting>
  <conditionalFormatting sqref="D134">
    <cfRule type="expression" dxfId="347" priority="335">
      <formula>$C$134="nie"</formula>
    </cfRule>
  </conditionalFormatting>
  <conditionalFormatting sqref="D135">
    <cfRule type="expression" dxfId="346" priority="334">
      <formula>$C$135=$AC$131</formula>
    </cfRule>
    <cfRule type="expression" dxfId="345" priority="333">
      <formula>$C$135=$AC$132</formula>
    </cfRule>
  </conditionalFormatting>
  <conditionalFormatting sqref="D142">
    <cfRule type="expression" dxfId="344" priority="321">
      <formula>$C$142="nie"</formula>
    </cfRule>
  </conditionalFormatting>
  <conditionalFormatting sqref="D151">
    <cfRule type="expression" dxfId="343" priority="318">
      <formula>$C$151="nie"</formula>
    </cfRule>
  </conditionalFormatting>
  <conditionalFormatting sqref="D188">
    <cfRule type="expression" dxfId="342" priority="262">
      <formula>$C$188="nie"</formula>
    </cfRule>
  </conditionalFormatting>
  <conditionalFormatting sqref="D198">
    <cfRule type="expression" dxfId="341" priority="251">
      <formula>$C$198="nie"</formula>
    </cfRule>
  </conditionalFormatting>
  <conditionalFormatting sqref="D208">
    <cfRule type="expression" dxfId="340" priority="238">
      <formula>$C$208="nie"</formula>
    </cfRule>
  </conditionalFormatting>
  <conditionalFormatting sqref="D217">
    <cfRule type="expression" dxfId="339" priority="227">
      <formula>$C$217="nie"</formula>
    </cfRule>
  </conditionalFormatting>
  <conditionalFormatting sqref="D219">
    <cfRule type="expression" dxfId="338" priority="218">
      <formula>$C$219="nie"</formula>
    </cfRule>
  </conditionalFormatting>
  <conditionalFormatting sqref="D223">
    <cfRule type="expression" dxfId="337" priority="215">
      <formula>$C$223="nie"</formula>
    </cfRule>
  </conditionalFormatting>
  <conditionalFormatting sqref="D225">
    <cfRule type="expression" dxfId="336" priority="209">
      <formula>$C$225="nie"</formula>
    </cfRule>
  </conditionalFormatting>
  <conditionalFormatting sqref="D227">
    <cfRule type="expression" dxfId="335" priority="211">
      <formula>$C$227="nie"</formula>
    </cfRule>
  </conditionalFormatting>
  <conditionalFormatting sqref="D229">
    <cfRule type="expression" dxfId="334" priority="207">
      <formula>$C$229="nie"</formula>
    </cfRule>
  </conditionalFormatting>
  <conditionalFormatting sqref="D267">
    <cfRule type="expression" dxfId="333" priority="166">
      <formula>$C$267="nie"</formula>
    </cfRule>
  </conditionalFormatting>
  <conditionalFormatting sqref="D300">
    <cfRule type="expression" dxfId="332" priority="102">
      <formula>$C$300="nie"</formula>
    </cfRule>
  </conditionalFormatting>
  <conditionalFormatting sqref="D312">
    <cfRule type="expression" dxfId="331" priority="69">
      <formula>$C$312="nie"</formula>
    </cfRule>
    <cfRule type="expression" dxfId="330" priority="67">
      <formula>$C$217="nie"</formula>
    </cfRule>
    <cfRule type="expression" dxfId="329" priority="66">
      <formula>$C$219="tak"</formula>
    </cfRule>
    <cfRule type="expression" dxfId="328" priority="55">
      <formula>$C$308="nie"</formula>
    </cfRule>
  </conditionalFormatting>
  <conditionalFormatting sqref="D327">
    <cfRule type="expression" dxfId="327" priority="46">
      <formula>$C$327="nie"</formula>
    </cfRule>
  </conditionalFormatting>
  <conditionalFormatting sqref="D332">
    <cfRule type="expression" dxfId="326" priority="38">
      <formula>$C$332="nie"</formula>
    </cfRule>
  </conditionalFormatting>
  <conditionalFormatting sqref="D344">
    <cfRule type="expression" dxfId="325" priority="12">
      <formula>$C$344="nie"</formula>
    </cfRule>
  </conditionalFormatting>
  <conditionalFormatting sqref="D347">
    <cfRule type="expression" dxfId="324" priority="18">
      <formula>$C$347="nie"</formula>
    </cfRule>
  </conditionalFormatting>
  <conditionalFormatting sqref="D6:E6">
    <cfRule type="expression" dxfId="323" priority="407">
      <formula>$C$6="nie dotyczy"</formula>
    </cfRule>
  </conditionalFormatting>
  <conditionalFormatting sqref="D7:E7">
    <cfRule type="expression" dxfId="322" priority="403">
      <formula>$C$7="tak"</formula>
    </cfRule>
    <cfRule type="expression" dxfId="321" priority="401">
      <formula>$C$7="nie dotyczy"</formula>
    </cfRule>
  </conditionalFormatting>
  <conditionalFormatting sqref="D8:E8">
    <cfRule type="expression" dxfId="320" priority="399">
      <formula>$C$8="nie dotyczy"</formula>
    </cfRule>
    <cfRule type="expression" dxfId="319" priority="400">
      <formula>$C$8="tak"</formula>
    </cfRule>
  </conditionalFormatting>
  <conditionalFormatting sqref="D9:E9">
    <cfRule type="expression" dxfId="318" priority="398">
      <formula>$C$9="tak"</formula>
    </cfRule>
    <cfRule type="expression" dxfId="317" priority="397">
      <formula>$C$9="nie dotyczy"</formula>
    </cfRule>
  </conditionalFormatting>
  <conditionalFormatting sqref="D15:E15">
    <cfRule type="expression" dxfId="316" priority="464">
      <formula>$C$15="tak"</formula>
    </cfRule>
  </conditionalFormatting>
  <conditionalFormatting sqref="D16:E16">
    <cfRule type="expression" dxfId="315" priority="463">
      <formula>$C$16="tak"</formula>
    </cfRule>
  </conditionalFormatting>
  <conditionalFormatting sqref="D17:E17">
    <cfRule type="expression" dxfId="314" priority="462">
      <formula>$C$17="tak"</formula>
    </cfRule>
  </conditionalFormatting>
  <conditionalFormatting sqref="D18:E18">
    <cfRule type="expression" dxfId="313" priority="461">
      <formula>$C$18="tak"</formula>
    </cfRule>
  </conditionalFormatting>
  <conditionalFormatting sqref="D24:E24">
    <cfRule type="expression" dxfId="312" priority="458">
      <formula>$C$24="tak"</formula>
    </cfRule>
  </conditionalFormatting>
  <conditionalFormatting sqref="D25:E25">
    <cfRule type="expression" dxfId="311" priority="454">
      <formula>$C$25="tak"</formula>
    </cfRule>
  </conditionalFormatting>
  <conditionalFormatting sqref="D26:E26">
    <cfRule type="expression" dxfId="310" priority="453">
      <formula>$C$26="tak"</formula>
    </cfRule>
  </conditionalFormatting>
  <conditionalFormatting sqref="D27:E27">
    <cfRule type="expression" dxfId="309" priority="452">
      <formula>$C$27="tak"</formula>
    </cfRule>
  </conditionalFormatting>
  <conditionalFormatting sqref="D28:E28">
    <cfRule type="expression" dxfId="308" priority="451">
      <formula>$C$28="tak"</formula>
    </cfRule>
  </conditionalFormatting>
  <conditionalFormatting sqref="D34:E34">
    <cfRule type="expression" dxfId="307" priority="449">
      <formula>$C$34="tak"</formula>
    </cfRule>
    <cfRule type="expression" dxfId="306" priority="446">
      <formula>$C$34="nie dotyczy"</formula>
    </cfRule>
  </conditionalFormatting>
  <conditionalFormatting sqref="D35:E35">
    <cfRule type="expression" priority="448">
      <formula>$C$35</formula>
    </cfRule>
    <cfRule type="expression" dxfId="305" priority="447">
      <formula>$C$35="tak"</formula>
    </cfRule>
    <cfRule type="expression" dxfId="304" priority="445">
      <formula>$C$35="nie dotyczy"</formula>
    </cfRule>
  </conditionalFormatting>
  <conditionalFormatting sqref="D36:E36">
    <cfRule type="expression" dxfId="303" priority="392">
      <formula>$C$36=$AC$7</formula>
    </cfRule>
    <cfRule type="expression" dxfId="302" priority="395">
      <formula>$C$36=$AC$4</formula>
    </cfRule>
    <cfRule type="expression" dxfId="301" priority="396">
      <formula>$C$36=$AC$3</formula>
    </cfRule>
    <cfRule type="expression" dxfId="300" priority="394">
      <formula>$C$36=$AC$5</formula>
    </cfRule>
    <cfRule type="expression" dxfId="299" priority="393">
      <formula>$C$36=$AC$6</formula>
    </cfRule>
  </conditionalFormatting>
  <conditionalFormatting sqref="D41:E41">
    <cfRule type="expression" dxfId="298" priority="442">
      <formula>$C$41="nie dotyczy"</formula>
    </cfRule>
    <cfRule type="expression" dxfId="297" priority="443">
      <formula>$C$41="tak"</formula>
    </cfRule>
  </conditionalFormatting>
  <conditionalFormatting sqref="D42:E43">
    <cfRule type="expression" dxfId="296" priority="440">
      <formula>$C$43="tak"</formula>
    </cfRule>
  </conditionalFormatting>
  <conditionalFormatting sqref="D44:E44">
    <cfRule type="expression" dxfId="295" priority="438">
      <formula>$C$44="tak"</formula>
    </cfRule>
  </conditionalFormatting>
  <conditionalFormatting sqref="D45:E45">
    <cfRule type="expression" dxfId="294" priority="437">
      <formula>$C$45="tak"</formula>
    </cfRule>
  </conditionalFormatting>
  <conditionalFormatting sqref="D46:E46">
    <cfRule type="expression" dxfId="293" priority="436">
      <formula>$C$46="tak"</formula>
    </cfRule>
  </conditionalFormatting>
  <conditionalFormatting sqref="D47:E47">
    <cfRule type="expression" dxfId="292" priority="435">
      <formula>$C$47="tak"</formula>
    </cfRule>
  </conditionalFormatting>
  <conditionalFormatting sqref="D48:E48">
    <cfRule type="expression" dxfId="291" priority="434">
      <formula>$C$48="tak"</formula>
    </cfRule>
  </conditionalFormatting>
  <conditionalFormatting sqref="D49:E49">
    <cfRule type="expression" dxfId="290" priority="433">
      <formula>$C$49="tak"</formula>
    </cfRule>
  </conditionalFormatting>
  <conditionalFormatting sqref="D50:E50">
    <cfRule type="expression" dxfId="289" priority="432">
      <formula>$C$50="tak"</formula>
    </cfRule>
  </conditionalFormatting>
  <conditionalFormatting sqref="D51:E51">
    <cfRule type="expression" dxfId="288" priority="431">
      <formula>$C$51="tak"</formula>
    </cfRule>
  </conditionalFormatting>
  <conditionalFormatting sqref="D57:E57">
    <cfRule type="expression" dxfId="287" priority="427">
      <formula>$C$57="tak"</formula>
    </cfRule>
  </conditionalFormatting>
  <conditionalFormatting sqref="D58:E58">
    <cfRule type="expression" dxfId="286" priority="425">
      <formula>$C$58="tak"</formula>
    </cfRule>
  </conditionalFormatting>
  <conditionalFormatting sqref="D59:E59">
    <cfRule type="expression" dxfId="285" priority="424">
      <formula>$C$59="tak"</formula>
    </cfRule>
  </conditionalFormatting>
  <conditionalFormatting sqref="D60:E61">
    <cfRule type="expression" dxfId="284" priority="390">
      <formula>$C$61="tak"</formula>
    </cfRule>
  </conditionalFormatting>
  <conditionalFormatting sqref="D62:E62">
    <cfRule type="expression" dxfId="283" priority="389">
      <formula>$C$62="tak"</formula>
    </cfRule>
  </conditionalFormatting>
  <conditionalFormatting sqref="D63:E63">
    <cfRule type="expression" dxfId="282" priority="388">
      <formula>$C$63="tak"</formula>
    </cfRule>
  </conditionalFormatting>
  <conditionalFormatting sqref="D64:E64">
    <cfRule type="expression" dxfId="281" priority="387">
      <formula>$C$64="tak"</formula>
    </cfRule>
  </conditionalFormatting>
  <conditionalFormatting sqref="D65:E65">
    <cfRule type="expression" dxfId="280" priority="386">
      <formula>$C$65="tak"</formula>
    </cfRule>
  </conditionalFormatting>
  <conditionalFormatting sqref="D66:E66">
    <cfRule type="expression" dxfId="279" priority="385">
      <formula>$C$66="tak"</formula>
    </cfRule>
  </conditionalFormatting>
  <conditionalFormatting sqref="D71:E71">
    <cfRule type="expression" dxfId="278" priority="382">
      <formula>$C$71=$AC$70</formula>
    </cfRule>
    <cfRule type="expression" dxfId="277" priority="381">
      <formula>$C$71=$AC$71</formula>
    </cfRule>
  </conditionalFormatting>
  <conditionalFormatting sqref="D72:E72">
    <cfRule type="expression" dxfId="276" priority="422">
      <formula>$C$72="tak"</formula>
    </cfRule>
    <cfRule type="expression" dxfId="275" priority="421">
      <formula>$C$72="nie dotyczy"</formula>
    </cfRule>
  </conditionalFormatting>
  <conditionalFormatting sqref="D73:E73">
    <cfRule type="expression" dxfId="274" priority="419">
      <formula>$C$73="nie dotyczy"</formula>
    </cfRule>
    <cfRule type="expression" dxfId="273" priority="420">
      <formula>$C$73="tak"</formula>
    </cfRule>
  </conditionalFormatting>
  <conditionalFormatting sqref="D74:E74">
    <cfRule type="expression" dxfId="272" priority="380">
      <formula>$C$74="tak"</formula>
    </cfRule>
  </conditionalFormatting>
  <conditionalFormatting sqref="D77:E77">
    <cfRule type="expression" dxfId="271" priority="379">
      <formula>$C$77="tak"</formula>
    </cfRule>
  </conditionalFormatting>
  <conditionalFormatting sqref="D78:E78">
    <cfRule type="expression" dxfId="270" priority="377">
      <formula>$C$78="tak"</formula>
    </cfRule>
  </conditionalFormatting>
  <conditionalFormatting sqref="D83:E83">
    <cfRule type="expression" dxfId="269" priority="366">
      <formula>$C$83="tak"</formula>
    </cfRule>
  </conditionalFormatting>
  <conditionalFormatting sqref="D84:E84">
    <cfRule type="expression" dxfId="268" priority="365">
      <formula>$C$84="tak"</formula>
    </cfRule>
  </conditionalFormatting>
  <conditionalFormatting sqref="D85:E85">
    <cfRule type="expression" dxfId="267" priority="364">
      <formula>$C$85="tak"</formula>
    </cfRule>
  </conditionalFormatting>
  <conditionalFormatting sqref="D86:E86">
    <cfRule type="expression" dxfId="266" priority="363">
      <formula>$C$86="tak"</formula>
    </cfRule>
  </conditionalFormatting>
  <conditionalFormatting sqref="D87:E87">
    <cfRule type="expression" dxfId="265" priority="362">
      <formula>$C$87="tak"</formula>
    </cfRule>
  </conditionalFormatting>
  <conditionalFormatting sqref="D88:E88">
    <cfRule type="expression" dxfId="264" priority="361">
      <formula>$C$88="tak"</formula>
    </cfRule>
  </conditionalFormatting>
  <conditionalFormatting sqref="D89:E89">
    <cfRule type="expression" dxfId="263" priority="360">
      <formula>$C$89="tak"</formula>
    </cfRule>
  </conditionalFormatting>
  <conditionalFormatting sqref="D92:E92">
    <cfRule type="expression" dxfId="262" priority="357">
      <formula>$C$92="tak"</formula>
    </cfRule>
  </conditionalFormatting>
  <conditionalFormatting sqref="D93:E93">
    <cfRule type="expression" dxfId="261" priority="356">
      <formula>$C$93="tak"</formula>
    </cfRule>
  </conditionalFormatting>
  <conditionalFormatting sqref="D94:E94">
    <cfRule type="expression" dxfId="260" priority="355">
      <formula>$C$94="tak"</formula>
    </cfRule>
  </conditionalFormatting>
  <conditionalFormatting sqref="D95:E95">
    <cfRule type="expression" dxfId="259" priority="354">
      <formula>$C$95="tak"</formula>
    </cfRule>
  </conditionalFormatting>
  <conditionalFormatting sqref="D105:E105">
    <cfRule type="expression" dxfId="258" priority="347">
      <formula>$C$105="tak"</formula>
    </cfRule>
  </conditionalFormatting>
  <conditionalFormatting sqref="D106:E106">
    <cfRule type="expression" dxfId="257" priority="346">
      <formula>$C$106="tak"</formula>
    </cfRule>
  </conditionalFormatting>
  <conditionalFormatting sqref="D107:E107">
    <cfRule type="expression" dxfId="256" priority="345">
      <formula>$C$107="tak"</formula>
    </cfRule>
  </conditionalFormatting>
  <conditionalFormatting sqref="D108:E108">
    <cfRule type="expression" dxfId="255" priority="344">
      <formula>$C$108="tak"</formula>
    </cfRule>
  </conditionalFormatting>
  <conditionalFormatting sqref="D109:E109">
    <cfRule type="expression" dxfId="254" priority="376">
      <formula>$C$109="tak"</formula>
    </cfRule>
    <cfRule type="expression" dxfId="253" priority="375">
      <formula>$C$109="nie"</formula>
    </cfRule>
  </conditionalFormatting>
  <conditionalFormatting sqref="D110:E110">
    <cfRule type="expression" dxfId="252" priority="343">
      <formula>$C$110="tak"</formula>
    </cfRule>
  </conditionalFormatting>
  <conditionalFormatting sqref="D111:E111">
    <cfRule type="expression" dxfId="251" priority="342">
      <formula>$C$111="tak"</formula>
    </cfRule>
  </conditionalFormatting>
  <conditionalFormatting sqref="D113:E113">
    <cfRule type="expression" dxfId="250" priority="340">
      <formula>$C$113="tak"</formula>
    </cfRule>
  </conditionalFormatting>
  <conditionalFormatting sqref="D114:E114">
    <cfRule type="expression" dxfId="249" priority="339">
      <formula>$C$114="tak"</formula>
    </cfRule>
  </conditionalFormatting>
  <conditionalFormatting sqref="D115:E115">
    <cfRule type="expression" dxfId="248" priority="338">
      <formula>$C$115="tak"</formula>
    </cfRule>
  </conditionalFormatting>
  <conditionalFormatting sqref="D125:E125">
    <cfRule type="expression" dxfId="247" priority="332">
      <formula>$C$125="tak"</formula>
    </cfRule>
  </conditionalFormatting>
  <conditionalFormatting sqref="D126:E126">
    <cfRule type="expression" dxfId="246" priority="331">
      <formula>$C$126="tak"</formula>
    </cfRule>
  </conditionalFormatting>
  <conditionalFormatting sqref="D127:E127">
    <cfRule type="expression" priority="330">
      <formula>$C$127</formula>
    </cfRule>
    <cfRule type="expression" dxfId="245" priority="329">
      <formula>$C$127="tak"</formula>
    </cfRule>
  </conditionalFormatting>
  <conditionalFormatting sqref="D128:E128">
    <cfRule type="expression" dxfId="244" priority="328">
      <formula>$C$128="tak"</formula>
    </cfRule>
  </conditionalFormatting>
  <conditionalFormatting sqref="D129:E129">
    <cfRule type="expression" dxfId="243" priority="327">
      <formula>$C$129="tak"</formula>
    </cfRule>
  </conditionalFormatting>
  <conditionalFormatting sqref="D130:E130">
    <cfRule type="expression" dxfId="242" priority="326">
      <formula>$C$130="tak"</formula>
    </cfRule>
  </conditionalFormatting>
  <conditionalFormatting sqref="D131:E131">
    <cfRule type="expression" dxfId="241" priority="325">
      <formula>$C$131="tak"</formula>
    </cfRule>
  </conditionalFormatting>
  <conditionalFormatting sqref="D132:E132">
    <cfRule type="expression" dxfId="240" priority="323">
      <formula>$C$132="tak"</formula>
    </cfRule>
  </conditionalFormatting>
  <conditionalFormatting sqref="D133:E133">
    <cfRule type="expression" dxfId="239" priority="324">
      <formula>$C$133="tak"</formula>
    </cfRule>
  </conditionalFormatting>
  <conditionalFormatting sqref="D134:E134">
    <cfRule type="expression" dxfId="238" priority="322">
      <formula>$C$134="tak"</formula>
    </cfRule>
  </conditionalFormatting>
  <conditionalFormatting sqref="D140:E140">
    <cfRule type="expression" dxfId="237" priority="316">
      <formula>$C$140="tak"</formula>
    </cfRule>
  </conditionalFormatting>
  <conditionalFormatting sqref="D141:E141">
    <cfRule type="expression" dxfId="236" priority="315">
      <formula>$C$141="tak"</formula>
    </cfRule>
  </conditionalFormatting>
  <conditionalFormatting sqref="D142:E142">
    <cfRule type="expression" dxfId="235" priority="314">
      <formula>$C$142="tak"</formula>
    </cfRule>
  </conditionalFormatting>
  <conditionalFormatting sqref="D143:E143">
    <cfRule type="expression" dxfId="234" priority="313">
      <formula>$C$143="tak"</formula>
    </cfRule>
  </conditionalFormatting>
  <conditionalFormatting sqref="D144:E144">
    <cfRule type="expression" dxfId="233" priority="312">
      <formula>$C$144="tak"</formula>
    </cfRule>
  </conditionalFormatting>
  <conditionalFormatting sqref="D145:E145">
    <cfRule type="expression" dxfId="232" priority="311">
      <formula>$C$145="tak"</formula>
    </cfRule>
  </conditionalFormatting>
  <conditionalFormatting sqref="D146:E146">
    <cfRule type="expression" dxfId="231" priority="310">
      <formula>$C$146="tak"</formula>
    </cfRule>
  </conditionalFormatting>
  <conditionalFormatting sqref="D149:E149">
    <cfRule type="expression" dxfId="230" priority="307">
      <formula>$C$149="tak"</formula>
    </cfRule>
  </conditionalFormatting>
  <conditionalFormatting sqref="D150:E150">
    <cfRule type="expression" dxfId="229" priority="306">
      <formula>$C$150="tak"</formula>
    </cfRule>
  </conditionalFormatting>
  <conditionalFormatting sqref="D151:E151">
    <cfRule type="expression" dxfId="228" priority="305">
      <formula>$C$151="tak"</formula>
    </cfRule>
  </conditionalFormatting>
  <conditionalFormatting sqref="D152:E152">
    <cfRule type="expression" dxfId="227" priority="304">
      <formula>$C$152="tak"</formula>
    </cfRule>
  </conditionalFormatting>
  <conditionalFormatting sqref="D162:E162">
    <cfRule type="expression" dxfId="226" priority="289">
      <formula>$C$162=$AC$161</formula>
    </cfRule>
    <cfRule type="expression" dxfId="225" priority="290">
      <formula>$C$162=$AC$162</formula>
    </cfRule>
  </conditionalFormatting>
  <conditionalFormatting sqref="D163:E163">
    <cfRule type="expression" dxfId="224" priority="297">
      <formula>$C$163="nie dotyczy"</formula>
    </cfRule>
    <cfRule type="expression" dxfId="223" priority="298">
      <formula>$C$163="tak"</formula>
    </cfRule>
  </conditionalFormatting>
  <conditionalFormatting sqref="D164:E164">
    <cfRule type="expression" dxfId="222" priority="284">
      <formula>$C$164="tak"</formula>
    </cfRule>
    <cfRule type="expression" dxfId="221" priority="283">
      <formula>$C$164="nie dotyczy"</formula>
    </cfRule>
  </conditionalFormatting>
  <conditionalFormatting sqref="D165:E165">
    <cfRule type="expression" dxfId="220" priority="288">
      <formula>$C$165="tak"</formula>
    </cfRule>
  </conditionalFormatting>
  <conditionalFormatting sqref="D168:E168">
    <cfRule type="expression" dxfId="219" priority="287">
      <formula>$C$168="tak"</formula>
    </cfRule>
  </conditionalFormatting>
  <conditionalFormatting sqref="D169:E169">
    <cfRule type="expression" dxfId="218" priority="285">
      <formula>$C$169="tak"</formula>
    </cfRule>
  </conditionalFormatting>
  <conditionalFormatting sqref="D174:E174">
    <cfRule type="expression" dxfId="217" priority="274">
      <formula>$C$174="tak"</formula>
    </cfRule>
  </conditionalFormatting>
  <conditionalFormatting sqref="D175:E175">
    <cfRule type="expression" dxfId="216" priority="275">
      <formula>$C$175="tak"</formula>
    </cfRule>
  </conditionalFormatting>
  <conditionalFormatting sqref="D176:E176">
    <cfRule type="expression" dxfId="215" priority="273">
      <formula>$C$176="tak"</formula>
    </cfRule>
    <cfRule type="expression" dxfId="214" priority="280">
      <formula>$C$176="nie"</formula>
    </cfRule>
  </conditionalFormatting>
  <conditionalFormatting sqref="D177:E177">
    <cfRule type="expression" dxfId="213" priority="270">
      <formula>$C$177="nie dotyczy"</formula>
    </cfRule>
    <cfRule type="expression" dxfId="212" priority="272">
      <formula>$C$177="tak"</formula>
    </cfRule>
  </conditionalFormatting>
  <conditionalFormatting sqref="D178:E178">
    <cfRule type="expression" dxfId="211" priority="268">
      <formula>$C$178="tak"</formula>
    </cfRule>
  </conditionalFormatting>
  <conditionalFormatting sqref="D179:E179">
    <cfRule type="expression" dxfId="210" priority="267">
      <formula>$C$179="tak"</formula>
    </cfRule>
  </conditionalFormatting>
  <conditionalFormatting sqref="D180:E180">
    <cfRule type="expression" dxfId="209" priority="266">
      <formula>$C$180="tak"</formula>
    </cfRule>
  </conditionalFormatting>
  <conditionalFormatting sqref="D181:E181">
    <cfRule type="expression" dxfId="208" priority="265">
      <formula>$C$181="tak"</formula>
    </cfRule>
  </conditionalFormatting>
  <conditionalFormatting sqref="D182:E182">
    <cfRule type="expression" dxfId="207" priority="264">
      <formula>$C$182="tak"</formula>
    </cfRule>
  </conditionalFormatting>
  <conditionalFormatting sqref="D183:E183">
    <cfRule type="expression" dxfId="206" priority="263">
      <formula>$C$183="tak"</formula>
    </cfRule>
  </conditionalFormatting>
  <conditionalFormatting sqref="D188:E188">
    <cfRule type="expression" dxfId="205" priority="261">
      <formula>$C$188="tak"</formula>
    </cfRule>
  </conditionalFormatting>
  <conditionalFormatting sqref="D189:E189">
    <cfRule type="expression" dxfId="204" priority="256">
      <formula>$C$189="tak"</formula>
    </cfRule>
  </conditionalFormatting>
  <conditionalFormatting sqref="D190:E190">
    <cfRule type="expression" dxfId="203" priority="255">
      <formula>$C$190="tak"</formula>
    </cfRule>
  </conditionalFormatting>
  <conditionalFormatting sqref="D191:E191">
    <cfRule type="expression" dxfId="202" priority="254">
      <formula>$C$191="tak"</formula>
    </cfRule>
  </conditionalFormatting>
  <conditionalFormatting sqref="D192:E192">
    <cfRule type="expression" dxfId="201" priority="253">
      <formula>$C$192="tak"</formula>
    </cfRule>
  </conditionalFormatting>
  <conditionalFormatting sqref="D193:E193">
    <cfRule type="expression" dxfId="200" priority="252">
      <formula>$C$193="tak"</formula>
    </cfRule>
  </conditionalFormatting>
  <conditionalFormatting sqref="D198:E198">
    <cfRule type="expression" dxfId="199" priority="250">
      <formula>$C$198="tak"</formula>
    </cfRule>
  </conditionalFormatting>
  <conditionalFormatting sqref="D199:E199">
    <cfRule type="expression" dxfId="198" priority="245">
      <formula>$C$199="tak"</formula>
    </cfRule>
  </conditionalFormatting>
  <conditionalFormatting sqref="D200:E200">
    <cfRule type="expression" dxfId="197" priority="244">
      <formula>$C$200="tak"</formula>
    </cfRule>
  </conditionalFormatting>
  <conditionalFormatting sqref="D201:E201">
    <cfRule type="expression" dxfId="196" priority="243">
      <formula>$C$201="tak"</formula>
    </cfRule>
  </conditionalFormatting>
  <conditionalFormatting sqref="D202:E202">
    <cfRule type="expression" dxfId="195" priority="242">
      <formula>$C$202="tak"</formula>
    </cfRule>
  </conditionalFormatting>
  <conditionalFormatting sqref="D203:E203">
    <cfRule type="expression" dxfId="194" priority="241">
      <formula>$C$203="tak"</formula>
    </cfRule>
  </conditionalFormatting>
  <conditionalFormatting sqref="D208:E208">
    <cfRule type="expression" dxfId="193" priority="234">
      <formula>$C$208="tak"</formula>
    </cfRule>
  </conditionalFormatting>
  <conditionalFormatting sqref="D209:E209">
    <cfRule type="expression" dxfId="192" priority="224">
      <formula>$C$209="nie dotyczy"</formula>
    </cfRule>
    <cfRule type="expression" dxfId="191" priority="233">
      <formula>$C$209="tak"</formula>
    </cfRule>
  </conditionalFormatting>
  <conditionalFormatting sqref="D210:E210">
    <cfRule type="expression" dxfId="190" priority="232">
      <formula>$C$210="tak"</formula>
    </cfRule>
  </conditionalFormatting>
  <conditionalFormatting sqref="D210:E212 A211:C212">
    <cfRule type="expression" dxfId="189" priority="225">
      <formula>$C$210="nie dotyczy"</formula>
    </cfRule>
  </conditionalFormatting>
  <conditionalFormatting sqref="D211:E211">
    <cfRule type="expression" dxfId="188" priority="223">
      <formula>$C$211="nie dotyczy"</formula>
    </cfRule>
    <cfRule type="expression" dxfId="187" priority="231">
      <formula>$C$211="tak"</formula>
    </cfRule>
  </conditionalFormatting>
  <conditionalFormatting sqref="D212:E212">
    <cfRule type="expression" dxfId="186" priority="222">
      <formula>$C$212="nie dotyczy"</formula>
    </cfRule>
    <cfRule type="expression" dxfId="185" priority="230">
      <formula>$C$212="tak"</formula>
    </cfRule>
  </conditionalFormatting>
  <conditionalFormatting sqref="D217:E217">
    <cfRule type="expression" dxfId="184" priority="226">
      <formula>$C$217="tak"</formula>
    </cfRule>
  </conditionalFormatting>
  <conditionalFormatting sqref="D218:E218">
    <cfRule type="expression" dxfId="183" priority="203">
      <formula>$C$218="tak"</formula>
    </cfRule>
  </conditionalFormatting>
  <conditionalFormatting sqref="D219:E219">
    <cfRule type="expression" dxfId="182" priority="202">
      <formula>$C$219="tak"</formula>
    </cfRule>
  </conditionalFormatting>
  <conditionalFormatting sqref="D220:E220">
    <cfRule type="expression" dxfId="181" priority="201">
      <formula>$C$220="tak"</formula>
    </cfRule>
  </conditionalFormatting>
  <conditionalFormatting sqref="D221:E221">
    <cfRule type="expression" dxfId="180" priority="200">
      <formula>$C$221="tak"</formula>
    </cfRule>
  </conditionalFormatting>
  <conditionalFormatting sqref="D222:E222">
    <cfRule type="expression" dxfId="179" priority="199">
      <formula>$C$222="tak"</formula>
    </cfRule>
  </conditionalFormatting>
  <conditionalFormatting sqref="D223:E223">
    <cfRule type="expression" dxfId="178" priority="214">
      <formula>$C$223="tak"</formula>
    </cfRule>
  </conditionalFormatting>
  <conditionalFormatting sqref="D224:E224">
    <cfRule type="expression" dxfId="177" priority="194">
      <formula>$C$224="tak"</formula>
    </cfRule>
  </conditionalFormatting>
  <conditionalFormatting sqref="D225:E225">
    <cfRule type="expression" dxfId="176" priority="208">
      <formula>$C$225="tak"</formula>
    </cfRule>
  </conditionalFormatting>
  <conditionalFormatting sqref="D226:E226">
    <cfRule type="expression" dxfId="175" priority="187">
      <formula>$C$226="tak"</formula>
    </cfRule>
  </conditionalFormatting>
  <conditionalFormatting sqref="D227:E227">
    <cfRule type="expression" dxfId="174" priority="193">
      <formula>$C$227="tak"</formula>
    </cfRule>
  </conditionalFormatting>
  <conditionalFormatting sqref="D228:E228">
    <cfRule type="expression" dxfId="173" priority="191">
      <formula>$C$228="tak"</formula>
    </cfRule>
  </conditionalFormatting>
  <conditionalFormatting sqref="D229:E229">
    <cfRule type="expression" dxfId="172" priority="206">
      <formula>$C$229="tak"</formula>
    </cfRule>
  </conditionalFormatting>
  <conditionalFormatting sqref="D230:E230">
    <cfRule type="expression" dxfId="171" priority="188">
      <formula>$C$230="tak"</formula>
    </cfRule>
  </conditionalFormatting>
  <conditionalFormatting sqref="D235:E235">
    <cfRule type="expression" dxfId="170" priority="181">
      <formula>$C$235="tak"</formula>
    </cfRule>
  </conditionalFormatting>
  <conditionalFormatting sqref="D236:E236">
    <cfRule type="expression" dxfId="169" priority="180">
      <formula>$C$236="tak"</formula>
    </cfRule>
  </conditionalFormatting>
  <conditionalFormatting sqref="D237:E237">
    <cfRule type="expression" dxfId="168" priority="179">
      <formula>$C$237="tak"</formula>
    </cfRule>
  </conditionalFormatting>
  <conditionalFormatting sqref="D238:E238">
    <cfRule type="expression" dxfId="167" priority="178">
      <formula>$C$238="tak"</formula>
    </cfRule>
  </conditionalFormatting>
  <conditionalFormatting sqref="D239:E239">
    <cfRule type="expression" dxfId="166" priority="177">
      <formula>$C$239="tak"</formula>
    </cfRule>
  </conditionalFormatting>
  <conditionalFormatting sqref="D240:E240">
    <cfRule type="expression" dxfId="165" priority="173">
      <formula>$C$240="tak"</formula>
    </cfRule>
  </conditionalFormatting>
  <conditionalFormatting sqref="D241:E241">
    <cfRule type="expression" dxfId="164" priority="175">
      <formula>$C$241="tak"</formula>
    </cfRule>
  </conditionalFormatting>
  <conditionalFormatting sqref="D242:E242">
    <cfRule type="expression" dxfId="163" priority="174">
      <formula>$C$242="tak"</formula>
    </cfRule>
  </conditionalFormatting>
  <conditionalFormatting sqref="D243:E243">
    <cfRule type="expression" dxfId="162" priority="176">
      <formula>$C$243="tak"</formula>
    </cfRule>
  </conditionalFormatting>
  <conditionalFormatting sqref="D248:E249">
    <cfRule type="expression" dxfId="161" priority="165">
      <formula>$C$248="tak"</formula>
    </cfRule>
  </conditionalFormatting>
  <conditionalFormatting sqref="D249:E249">
    <cfRule type="expression" dxfId="160" priority="172">
      <formula>$C$248="nie"</formula>
    </cfRule>
  </conditionalFormatting>
  <conditionalFormatting sqref="D250:E250">
    <cfRule type="expression" dxfId="159" priority="163">
      <formula>$C$250="tak"</formula>
    </cfRule>
  </conditionalFormatting>
  <conditionalFormatting sqref="D251:E251">
    <cfRule type="expression" dxfId="158" priority="162">
      <formula>$C$251="tak"</formula>
    </cfRule>
  </conditionalFormatting>
  <conditionalFormatting sqref="D252:E252">
    <cfRule type="expression" dxfId="157" priority="161">
      <formula>$C$252="tak"</formula>
    </cfRule>
  </conditionalFormatting>
  <conditionalFormatting sqref="D253:E253">
    <cfRule type="expression" dxfId="156" priority="160">
      <formula>$C$253="tak"</formula>
    </cfRule>
  </conditionalFormatting>
  <conditionalFormatting sqref="D254:E254">
    <cfRule type="expression" dxfId="155" priority="159">
      <formula>$C$254="tak"</formula>
    </cfRule>
  </conditionalFormatting>
  <conditionalFormatting sqref="D255:E255">
    <cfRule type="expression" dxfId="154" priority="158">
      <formula>$C$255="tak"</formula>
    </cfRule>
  </conditionalFormatting>
  <conditionalFormatting sqref="D256:E256">
    <cfRule type="expression" dxfId="153" priority="157">
      <formula>$C$256="tak"</formula>
    </cfRule>
  </conditionalFormatting>
  <conditionalFormatting sqref="D257:E257">
    <cfRule type="expression" dxfId="152" priority="156">
      <formula>$C$257="tak"</formula>
    </cfRule>
  </conditionalFormatting>
  <conditionalFormatting sqref="D258:E258">
    <cfRule type="expression" dxfId="151" priority="155">
      <formula>$C$258="tak"</formula>
    </cfRule>
  </conditionalFormatting>
  <conditionalFormatting sqref="D259:E259">
    <cfRule type="expression" dxfId="150" priority="154">
      <formula>$C$259="tak"</formula>
    </cfRule>
  </conditionalFormatting>
  <conditionalFormatting sqref="D260:E260">
    <cfRule type="expression" dxfId="149" priority="153">
      <formula>$C$260="tak"</formula>
    </cfRule>
  </conditionalFormatting>
  <conditionalFormatting sqref="D261:E261">
    <cfRule type="expression" dxfId="148" priority="152">
      <formula>$C$261="tak"</formula>
    </cfRule>
  </conditionalFormatting>
  <conditionalFormatting sqref="D262:E262">
    <cfRule type="expression" dxfId="147" priority="151">
      <formula>$C$262="tak"</formula>
    </cfRule>
  </conditionalFormatting>
  <conditionalFormatting sqref="D263:E263">
    <cfRule type="expression" dxfId="146" priority="150">
      <formula>$C$263="tak"</formula>
    </cfRule>
  </conditionalFormatting>
  <conditionalFormatting sqref="D264:E264">
    <cfRule type="expression" dxfId="145" priority="149">
      <formula>$C$264="tak"</formula>
    </cfRule>
  </conditionalFormatting>
  <conditionalFormatting sqref="D265:E265">
    <cfRule type="expression" dxfId="144" priority="148">
      <formula>$C$265="tak"</formula>
    </cfRule>
  </conditionalFormatting>
  <conditionalFormatting sqref="D266:E266">
    <cfRule type="expression" dxfId="143" priority="147">
      <formula>$C$266="tak"</formula>
    </cfRule>
  </conditionalFormatting>
  <conditionalFormatting sqref="D267:E267">
    <cfRule type="expression" dxfId="142" priority="146">
      <formula>$C$267="tak"</formula>
    </cfRule>
  </conditionalFormatting>
  <conditionalFormatting sqref="D268:E268">
    <cfRule type="expression" dxfId="141" priority="145">
      <formula>$C$268="tak"</formula>
    </cfRule>
  </conditionalFormatting>
  <conditionalFormatting sqref="D269:E269">
    <cfRule type="expression" dxfId="140" priority="142">
      <formula>$C$269="nie dotyczy"</formula>
    </cfRule>
    <cfRule type="expression" dxfId="139" priority="144">
      <formula>$C$269="tak"</formula>
    </cfRule>
  </conditionalFormatting>
  <conditionalFormatting sqref="D270:E270">
    <cfRule type="expression" dxfId="138" priority="141">
      <formula>$C$270="nie dotyczy"</formula>
    </cfRule>
    <cfRule type="expression" dxfId="137" priority="143">
      <formula>$C$270="tak"</formula>
    </cfRule>
  </conditionalFormatting>
  <conditionalFormatting sqref="D275:E276">
    <cfRule type="expression" dxfId="136" priority="139">
      <formula>$C$275="tak"</formula>
    </cfRule>
  </conditionalFormatting>
  <conditionalFormatting sqref="D276:E276">
    <cfRule type="expression" dxfId="135" priority="140">
      <formula>$C$275="nie"</formula>
    </cfRule>
  </conditionalFormatting>
  <conditionalFormatting sqref="D277:E277">
    <cfRule type="expression" dxfId="134" priority="99">
      <formula>$C$277="tak"</formula>
    </cfRule>
  </conditionalFormatting>
  <conditionalFormatting sqref="D278:E278">
    <cfRule type="expression" dxfId="133" priority="98">
      <formula>$C$278="tak"</formula>
    </cfRule>
  </conditionalFormatting>
  <conditionalFormatting sqref="D279:E279">
    <cfRule type="expression" dxfId="132" priority="97">
      <formula>$C$279="tak"</formula>
    </cfRule>
  </conditionalFormatting>
  <conditionalFormatting sqref="D280:E280">
    <cfRule type="expression" dxfId="131" priority="96">
      <formula>$C$280="tak"</formula>
    </cfRule>
  </conditionalFormatting>
  <conditionalFormatting sqref="D281:E281">
    <cfRule type="expression" dxfId="130" priority="95">
      <formula>$C$281="tak"</formula>
    </cfRule>
  </conditionalFormatting>
  <conditionalFormatting sqref="D282:E282">
    <cfRule type="expression" dxfId="129" priority="94">
      <formula>$C$282="tak"</formula>
    </cfRule>
  </conditionalFormatting>
  <conditionalFormatting sqref="D283:E283">
    <cfRule type="expression" dxfId="128" priority="93">
      <formula>$C$283="tak"</formula>
    </cfRule>
  </conditionalFormatting>
  <conditionalFormatting sqref="D284:E284">
    <cfRule type="expression" dxfId="127" priority="92">
      <formula>$C$284="tak"</formula>
    </cfRule>
  </conditionalFormatting>
  <conditionalFormatting sqref="D285:E285">
    <cfRule type="expression" dxfId="126" priority="91">
      <formula>$C$285="tak"</formula>
    </cfRule>
  </conditionalFormatting>
  <conditionalFormatting sqref="D286:E286">
    <cfRule type="expression" dxfId="125" priority="90">
      <formula>$C$286="tak"</formula>
    </cfRule>
  </conditionalFormatting>
  <conditionalFormatting sqref="D287:E287">
    <cfRule type="expression" dxfId="124" priority="89">
      <formula>$C$287="tak"</formula>
    </cfRule>
  </conditionalFormatting>
  <conditionalFormatting sqref="D288:E288">
    <cfRule type="expression" dxfId="123" priority="88">
      <formula>$C$288="tak"</formula>
    </cfRule>
  </conditionalFormatting>
  <conditionalFormatting sqref="D289:E289">
    <cfRule type="expression" dxfId="122" priority="87">
      <formula>$C$289="tak"</formula>
    </cfRule>
  </conditionalFormatting>
  <conditionalFormatting sqref="D290:E290">
    <cfRule type="expression" dxfId="121" priority="86">
      <formula>$C$290="tak"</formula>
    </cfRule>
  </conditionalFormatting>
  <conditionalFormatting sqref="D291:E291">
    <cfRule type="expression" dxfId="120" priority="85">
      <formula>$C$291="tak"</formula>
    </cfRule>
  </conditionalFormatting>
  <conditionalFormatting sqref="D292:E292">
    <cfRule type="expression" dxfId="119" priority="103">
      <formula>$C$292="tak"</formula>
    </cfRule>
  </conditionalFormatting>
  <conditionalFormatting sqref="D293:E293">
    <cfRule type="expression" dxfId="118" priority="84">
      <formula>$C$293="tak"</formula>
    </cfRule>
  </conditionalFormatting>
  <conditionalFormatting sqref="D294:E294">
    <cfRule type="expression" dxfId="117" priority="83">
      <formula>$C$294="tak"</formula>
    </cfRule>
  </conditionalFormatting>
  <conditionalFormatting sqref="D295:E295">
    <cfRule type="expression" dxfId="116" priority="82">
      <formula>$C$295="tak"</formula>
    </cfRule>
  </conditionalFormatting>
  <conditionalFormatting sqref="D296:E296">
    <cfRule type="expression" dxfId="115" priority="81">
      <formula>$C$296="tak"</formula>
    </cfRule>
  </conditionalFormatting>
  <conditionalFormatting sqref="D297:E297">
    <cfRule type="expression" dxfId="114" priority="80">
      <formula>$C$297="tak"</formula>
    </cfRule>
  </conditionalFormatting>
  <conditionalFormatting sqref="D298:E298">
    <cfRule type="expression" dxfId="113" priority="79">
      <formula>$C$298="tak"</formula>
    </cfRule>
  </conditionalFormatting>
  <conditionalFormatting sqref="D299:E299">
    <cfRule type="expression" dxfId="112" priority="78">
      <formula>$C$299="tak"</formula>
    </cfRule>
  </conditionalFormatting>
  <conditionalFormatting sqref="D300:E300">
    <cfRule type="expression" dxfId="111" priority="77">
      <formula>$C$300="tak"</formula>
    </cfRule>
  </conditionalFormatting>
  <conditionalFormatting sqref="D301:E301">
    <cfRule type="expression" dxfId="110" priority="76">
      <formula>$C$301="tak"</formula>
    </cfRule>
  </conditionalFormatting>
  <conditionalFormatting sqref="D302:E302">
    <cfRule type="expression" dxfId="109" priority="75">
      <formula>$C$302="tak"</formula>
    </cfRule>
  </conditionalFormatting>
  <conditionalFormatting sqref="D303:E303">
    <cfRule type="expression" dxfId="108" priority="74">
      <formula>$C$303="tak"</formula>
    </cfRule>
  </conditionalFormatting>
  <conditionalFormatting sqref="D308:E309">
    <cfRule type="expression" dxfId="107" priority="72">
      <formula>$C$308="tak"</formula>
    </cfRule>
  </conditionalFormatting>
  <conditionalFormatting sqref="D309:E309">
    <cfRule type="expression" dxfId="106" priority="73">
      <formula>$C$308="nie"</formula>
    </cfRule>
  </conditionalFormatting>
  <conditionalFormatting sqref="D310:E310">
    <cfRule type="expression" dxfId="105" priority="63">
      <formula>$C$310="tak"</formula>
    </cfRule>
  </conditionalFormatting>
  <conditionalFormatting sqref="D311:E311">
    <cfRule type="expression" dxfId="104" priority="62">
      <formula>$C$311="tak"</formula>
    </cfRule>
  </conditionalFormatting>
  <conditionalFormatting sqref="D312:E312">
    <cfRule type="expression" dxfId="103" priority="53">
      <formula>$C$312="tak"</formula>
    </cfRule>
  </conditionalFormatting>
  <conditionalFormatting sqref="D313:E313">
    <cfRule type="expression" dxfId="102" priority="61">
      <formula>$C$313="tak"</formula>
    </cfRule>
  </conditionalFormatting>
  <conditionalFormatting sqref="D314:E314">
    <cfRule type="expression" dxfId="101" priority="60">
      <formula>$C$314="tak"</formula>
    </cfRule>
  </conditionalFormatting>
  <conditionalFormatting sqref="D315:E315">
    <cfRule type="expression" dxfId="100" priority="59">
      <formula>$C$315="tak"</formula>
    </cfRule>
  </conditionalFormatting>
  <conditionalFormatting sqref="D316:E316">
    <cfRule type="expression" dxfId="99" priority="58">
      <formula>$C$316="tak"</formula>
    </cfRule>
  </conditionalFormatting>
  <conditionalFormatting sqref="D317:E317">
    <cfRule type="expression" dxfId="98" priority="57">
      <formula>$C$317="tak"</formula>
    </cfRule>
  </conditionalFormatting>
  <conditionalFormatting sqref="D318:E318">
    <cfRule type="expression" dxfId="97" priority="56">
      <formula>$C$318="tak"</formula>
    </cfRule>
  </conditionalFormatting>
  <conditionalFormatting sqref="D324:E324">
    <cfRule type="expression" dxfId="96" priority="52">
      <formula>$C$323="nie"</formula>
    </cfRule>
  </conditionalFormatting>
  <conditionalFormatting sqref="D325:E325">
    <cfRule type="expression" dxfId="95" priority="30">
      <formula>$C$325="tak"</formula>
    </cfRule>
  </conditionalFormatting>
  <conditionalFormatting sqref="D326:E326">
    <cfRule type="expression" dxfId="94" priority="29">
      <formula>$C$326="tak"</formula>
    </cfRule>
  </conditionalFormatting>
  <conditionalFormatting sqref="D327:E327">
    <cfRule type="expression" dxfId="93" priority="33">
      <formula>$C$327="tak"</formula>
    </cfRule>
  </conditionalFormatting>
  <conditionalFormatting sqref="D328:E328">
    <cfRule type="expression" dxfId="92" priority="28">
      <formula>$C$328="tak"</formula>
    </cfRule>
  </conditionalFormatting>
  <conditionalFormatting sqref="D329:E329">
    <cfRule type="expression" dxfId="91" priority="27">
      <formula>$C$329="tak"</formula>
    </cfRule>
  </conditionalFormatting>
  <conditionalFormatting sqref="D330:E330">
    <cfRule type="expression" dxfId="90" priority="26">
      <formula>$C$330="tak"</formula>
    </cfRule>
  </conditionalFormatting>
  <conditionalFormatting sqref="D331:E331">
    <cfRule type="expression" dxfId="89" priority="25">
      <formula>$C$331="tak"</formula>
    </cfRule>
  </conditionalFormatting>
  <conditionalFormatting sqref="D332:E332">
    <cfRule type="expression" dxfId="88" priority="32">
      <formula>$C$332="tak"</formula>
    </cfRule>
  </conditionalFormatting>
  <conditionalFormatting sqref="D333:E333">
    <cfRule type="expression" dxfId="87" priority="24">
      <formula>$C$333="tak"</formula>
    </cfRule>
  </conditionalFormatting>
  <conditionalFormatting sqref="D334:E334">
    <cfRule type="expression" dxfId="86" priority="23">
      <formula>$C$334="tak"</formula>
    </cfRule>
  </conditionalFormatting>
  <conditionalFormatting sqref="D335:E335">
    <cfRule type="expression" dxfId="85" priority="22">
      <formula>$C$335="tak"</formula>
    </cfRule>
  </conditionalFormatting>
  <conditionalFormatting sqref="D336:E336">
    <cfRule type="expression" dxfId="84" priority="21">
      <formula>$C$336="tak"</formula>
    </cfRule>
  </conditionalFormatting>
  <conditionalFormatting sqref="D337:E337">
    <cfRule type="expression" dxfId="83" priority="20">
      <formula>$C$337="tak"</formula>
    </cfRule>
  </conditionalFormatting>
  <conditionalFormatting sqref="D342:E342">
    <cfRule type="expression" dxfId="82" priority="8">
      <formula>$C$342="tak"</formula>
    </cfRule>
  </conditionalFormatting>
  <conditionalFormatting sqref="D347:E347">
    <cfRule type="expression" dxfId="81" priority="16">
      <formula>$C$347="tak"</formula>
    </cfRule>
  </conditionalFormatting>
  <conditionalFormatting sqref="E6">
    <cfRule type="expression" dxfId="80" priority="405">
      <formula>$C$6="nie"</formula>
    </cfRule>
    <cfRule type="expression" dxfId="79" priority="406">
      <formula>$C$6="tak"</formula>
    </cfRule>
  </conditionalFormatting>
  <conditionalFormatting sqref="E7">
    <cfRule type="expression" dxfId="78" priority="402">
      <formula>$C$7="nie"</formula>
    </cfRule>
  </conditionalFormatting>
  <conditionalFormatting sqref="E14">
    <cfRule type="expression" dxfId="77" priority="466">
      <formula>$C$14="tak"</formula>
    </cfRule>
  </conditionalFormatting>
  <conditionalFormatting sqref="E15:E17">
    <cfRule type="expression" dxfId="76" priority="465">
      <formula>$C$14="nie"</formula>
    </cfRule>
  </conditionalFormatting>
  <conditionalFormatting sqref="E23">
    <cfRule type="expression" dxfId="75" priority="459">
      <formula>$C$23="nie dotyczy"</formula>
    </cfRule>
  </conditionalFormatting>
  <conditionalFormatting sqref="E24">
    <cfRule type="expression" dxfId="74" priority="457">
      <formula>$C$24="nie dotyczy"</formula>
    </cfRule>
  </conditionalFormatting>
  <conditionalFormatting sqref="E25">
    <cfRule type="expression" dxfId="73" priority="456">
      <formula>$C$25="nie dotyczy"</formula>
    </cfRule>
  </conditionalFormatting>
  <conditionalFormatting sqref="E26">
    <cfRule type="expression" dxfId="72" priority="455">
      <formula>$C$26="nie dotyczy"</formula>
    </cfRule>
  </conditionalFormatting>
  <conditionalFormatting sqref="E33">
    <cfRule type="expression" dxfId="71" priority="450">
      <formula>$C$33="tak"</formula>
    </cfRule>
  </conditionalFormatting>
  <conditionalFormatting sqref="E45">
    <cfRule type="expression" dxfId="70" priority="430">
      <formula>$C$45="nie"</formula>
    </cfRule>
  </conditionalFormatting>
  <conditionalFormatting sqref="E75">
    <cfRule type="expression" dxfId="69" priority="416">
      <formula>$C$75="nie"</formula>
    </cfRule>
    <cfRule type="expression" dxfId="68" priority="417">
      <formula>$C$75="tak"</formula>
    </cfRule>
  </conditionalFormatting>
  <conditionalFormatting sqref="E76">
    <cfRule type="expression" dxfId="67" priority="415">
      <formula>$C$76="tak"</formula>
    </cfRule>
  </conditionalFormatting>
  <conditionalFormatting sqref="E77">
    <cfRule type="expression" dxfId="66" priority="378">
      <formula>$C$77="nie"</formula>
    </cfRule>
  </conditionalFormatting>
  <conditionalFormatting sqref="E86">
    <cfRule type="expression" dxfId="65" priority="371">
      <formula>$C$86="nie"</formula>
    </cfRule>
  </conditionalFormatting>
  <conditionalFormatting sqref="E90">
    <cfRule type="expression" dxfId="64" priority="359">
      <formula>$C$90="tak"</formula>
    </cfRule>
  </conditionalFormatting>
  <conditionalFormatting sqref="E91">
    <cfRule type="expression" dxfId="63" priority="358">
      <formula>$C$91="tak"</formula>
    </cfRule>
  </conditionalFormatting>
  <conditionalFormatting sqref="E92">
    <cfRule type="expression" dxfId="62" priority="369">
      <formula>$C$92="nie"</formula>
    </cfRule>
  </conditionalFormatting>
  <conditionalFormatting sqref="E96">
    <cfRule type="expression" dxfId="61" priority="367">
      <formula>$C$96="tak"</formula>
    </cfRule>
  </conditionalFormatting>
  <conditionalFormatting sqref="E97">
    <cfRule type="expression" dxfId="60" priority="353">
      <formula>$C$97="tak"</formula>
    </cfRule>
  </conditionalFormatting>
  <conditionalFormatting sqref="E98">
    <cfRule type="expression" dxfId="59" priority="352">
      <formula>$C$98="tak"</formula>
    </cfRule>
  </conditionalFormatting>
  <conditionalFormatting sqref="E99">
    <cfRule type="expression" dxfId="58" priority="351">
      <formula>$C$99="tak"</formula>
    </cfRule>
  </conditionalFormatting>
  <conditionalFormatting sqref="E100">
    <cfRule type="expression" dxfId="57" priority="350">
      <formula>$C$100="tak"</formula>
    </cfRule>
  </conditionalFormatting>
  <conditionalFormatting sqref="E105">
    <cfRule type="expression" dxfId="56" priority="349">
      <formula>$C$105="nie"</formula>
    </cfRule>
  </conditionalFormatting>
  <conditionalFormatting sqref="E112">
    <cfRule type="expression" dxfId="55" priority="341">
      <formula>$C$112="tak"</formula>
    </cfRule>
  </conditionalFormatting>
  <conditionalFormatting sqref="E115">
    <cfRule type="expression" dxfId="54" priority="348">
      <formula>$C$115="nie"</formula>
    </cfRule>
  </conditionalFormatting>
  <conditionalFormatting sqref="E129">
    <cfRule type="expression" dxfId="53" priority="337">
      <formula>$C$129="nie"</formula>
    </cfRule>
  </conditionalFormatting>
  <conditionalFormatting sqref="E143">
    <cfRule type="expression" dxfId="52" priority="320">
      <formula>$C$143="nie"</formula>
    </cfRule>
  </conditionalFormatting>
  <conditionalFormatting sqref="E147">
    <cfRule type="expression" dxfId="51" priority="309">
      <formula>$C$147="tak"</formula>
    </cfRule>
  </conditionalFormatting>
  <conditionalFormatting sqref="E148">
    <cfRule type="expression" dxfId="50" priority="308">
      <formula>$C$148="tak"</formula>
    </cfRule>
  </conditionalFormatting>
  <conditionalFormatting sqref="E149">
    <cfRule type="expression" dxfId="49" priority="319">
      <formula>$C$149="nie"</formula>
    </cfRule>
  </conditionalFormatting>
  <conditionalFormatting sqref="E153">
    <cfRule type="expression" dxfId="48" priority="317">
      <formula>$C$153="tak"</formula>
    </cfRule>
  </conditionalFormatting>
  <conditionalFormatting sqref="E154">
    <cfRule type="expression" dxfId="47" priority="303">
      <formula>$C$154="tak"</formula>
    </cfRule>
  </conditionalFormatting>
  <conditionalFormatting sqref="E155">
    <cfRule type="expression" dxfId="46" priority="302">
      <formula>$C$155="tak"</formula>
    </cfRule>
  </conditionalFormatting>
  <conditionalFormatting sqref="E156">
    <cfRule type="expression" dxfId="45" priority="301">
      <formula>$C$156="tak"</formula>
    </cfRule>
  </conditionalFormatting>
  <conditionalFormatting sqref="E157">
    <cfRule type="expression" dxfId="44" priority="300">
      <formula>$C$157="tak"</formula>
    </cfRule>
  </conditionalFormatting>
  <conditionalFormatting sqref="E166">
    <cfRule type="expression" dxfId="43" priority="292">
      <formula>$C$166="nie"</formula>
    </cfRule>
    <cfRule type="expression" dxfId="42" priority="293">
      <formula>$C$166="tak"</formula>
    </cfRule>
  </conditionalFormatting>
  <conditionalFormatting sqref="E167">
    <cfRule type="expression" dxfId="41" priority="291">
      <formula>$C$167="tak"</formula>
    </cfRule>
  </conditionalFormatting>
  <conditionalFormatting sqref="E168">
    <cfRule type="expression" dxfId="40" priority="286">
      <formula>$C$168="nie"</formula>
    </cfRule>
  </conditionalFormatting>
  <conditionalFormatting sqref="E180">
    <cfRule type="expression" dxfId="39" priority="278">
      <formula>$C$180="nie"</formula>
    </cfRule>
  </conditionalFormatting>
  <conditionalFormatting sqref="E181">
    <cfRule type="expression" dxfId="38" priority="277">
      <formula>$C$181="nie"</formula>
    </cfRule>
  </conditionalFormatting>
  <conditionalFormatting sqref="E182">
    <cfRule type="expression" dxfId="37" priority="276">
      <formula>$C$182="nie"</formula>
    </cfRule>
  </conditionalFormatting>
  <conditionalFormatting sqref="E189">
    <cfRule type="expression" dxfId="36" priority="260">
      <formula>$C$189="nie"</formula>
    </cfRule>
  </conditionalFormatting>
  <conditionalFormatting sqref="E191">
    <cfRule type="expression" dxfId="35" priority="259">
      <formula>$C$191="nie"</formula>
    </cfRule>
  </conditionalFormatting>
  <conditionalFormatting sqref="E192">
    <cfRule type="expression" dxfId="34" priority="258">
      <formula>$C$192="nie"</formula>
    </cfRule>
  </conditionalFormatting>
  <conditionalFormatting sqref="E193">
    <cfRule type="expression" dxfId="33" priority="257">
      <formula>$C$193="nie"</formula>
    </cfRule>
  </conditionalFormatting>
  <conditionalFormatting sqref="E199">
    <cfRule type="expression" dxfId="32" priority="249">
      <formula>$C$199="nie"</formula>
    </cfRule>
  </conditionalFormatting>
  <conditionalFormatting sqref="E201">
    <cfRule type="expression" dxfId="31" priority="248">
      <formula>$C$201="nie"</formula>
    </cfRule>
  </conditionalFormatting>
  <conditionalFormatting sqref="E202">
    <cfRule type="expression" dxfId="30" priority="247">
      <formula>$C$202="nie"</formula>
    </cfRule>
  </conditionalFormatting>
  <conditionalFormatting sqref="E203">
    <cfRule type="expression" dxfId="29" priority="246">
      <formula>$C$203="nie"</formula>
    </cfRule>
  </conditionalFormatting>
  <conditionalFormatting sqref="E209">
    <cfRule type="expression" dxfId="28" priority="235">
      <formula>$C$209="nie"</formula>
    </cfRule>
  </conditionalFormatting>
  <conditionalFormatting sqref="E211">
    <cfRule type="expression" dxfId="27" priority="229">
      <formula>$C$211="nie"</formula>
    </cfRule>
  </conditionalFormatting>
  <conditionalFormatting sqref="E212">
    <cfRule type="expression" dxfId="26" priority="228">
      <formula>$C$212="nie"</formula>
    </cfRule>
  </conditionalFormatting>
  <conditionalFormatting sqref="E218">
    <cfRule type="expression" dxfId="25" priority="198">
      <formula>$C$218="nie"</formula>
    </cfRule>
  </conditionalFormatting>
  <conditionalFormatting sqref="E221">
    <cfRule type="expression" dxfId="24" priority="197">
      <formula>$C$221="nie"</formula>
    </cfRule>
  </conditionalFormatting>
  <conditionalFormatting sqref="E222">
    <cfRule type="expression" dxfId="23" priority="196">
      <formula>$C$222="nie"</formula>
    </cfRule>
  </conditionalFormatting>
  <conditionalFormatting sqref="E224">
    <cfRule type="expression" dxfId="22" priority="195">
      <formula>$C$224="nie"</formula>
    </cfRule>
  </conditionalFormatting>
  <conditionalFormatting sqref="E228">
    <cfRule type="expression" dxfId="21" priority="192">
      <formula>$C$228="nie"</formula>
    </cfRule>
  </conditionalFormatting>
  <conditionalFormatting sqref="E238">
    <cfRule type="expression" dxfId="20" priority="184">
      <formula>$C$238="nie"</formula>
    </cfRule>
  </conditionalFormatting>
  <conditionalFormatting sqref="E239">
    <cfRule type="expression" dxfId="19" priority="183">
      <formula>$C$239="nie"</formula>
    </cfRule>
  </conditionalFormatting>
  <conditionalFormatting sqref="E243">
    <cfRule type="expression" dxfId="18" priority="182">
      <formula>$C$243="nie"</formula>
    </cfRule>
  </conditionalFormatting>
  <conditionalFormatting sqref="E250">
    <cfRule type="expression" dxfId="17" priority="167">
      <formula>$C$250="nie"</formula>
    </cfRule>
  </conditionalFormatting>
  <conditionalFormatting sqref="E269">
    <cfRule type="expression" dxfId="16" priority="168">
      <formula>$C$269="nie"</formula>
    </cfRule>
  </conditionalFormatting>
  <conditionalFormatting sqref="E302">
    <cfRule type="expression" dxfId="15" priority="100">
      <formula>$C$302="nie"</formula>
    </cfRule>
  </conditionalFormatting>
  <conditionalFormatting sqref="E317">
    <cfRule type="expression" dxfId="14" priority="65">
      <formula>$C$317="nie"</formula>
    </cfRule>
  </conditionalFormatting>
  <conditionalFormatting sqref="E323">
    <cfRule type="expression" dxfId="13" priority="50">
      <formula>$C$323="tak"</formula>
    </cfRule>
  </conditionalFormatting>
  <conditionalFormatting sqref="E325">
    <cfRule type="expression" dxfId="12" priority="34">
      <formula>$C$325="nie"</formula>
    </cfRule>
  </conditionalFormatting>
  <conditionalFormatting sqref="E337">
    <cfRule type="expression" dxfId="11" priority="31">
      <formula>$C$337="nie"</formula>
    </cfRule>
  </conditionalFormatting>
  <conditionalFormatting sqref="E342">
    <cfRule type="expression" dxfId="10" priority="14">
      <formula>$C$342="nie"</formula>
    </cfRule>
  </conditionalFormatting>
  <conditionalFormatting sqref="E343">
    <cfRule type="expression" dxfId="9" priority="7">
      <formula>$C$343="tak"</formula>
    </cfRule>
    <cfRule type="expression" dxfId="8" priority="13">
      <formula>$C$343="nie"</formula>
    </cfRule>
  </conditionalFormatting>
  <conditionalFormatting sqref="E344">
    <cfRule type="expression" dxfId="7" priority="6">
      <formula>$C$344="tak"</formula>
    </cfRule>
  </conditionalFormatting>
  <conditionalFormatting sqref="E345">
    <cfRule type="expression" dxfId="6" priority="5">
      <formula>$C$345="tak"</formula>
    </cfRule>
    <cfRule type="expression" dxfId="5" priority="11">
      <formula>$C$345="nie"</formula>
    </cfRule>
  </conditionalFormatting>
  <conditionalFormatting sqref="E346">
    <cfRule type="expression" dxfId="4" priority="4">
      <formula>$C$346="tak"</formula>
    </cfRule>
    <cfRule type="expression" dxfId="3" priority="10">
      <formula>$C$346="nie"</formula>
    </cfRule>
  </conditionalFormatting>
  <conditionalFormatting sqref="E348">
    <cfRule type="expression" dxfId="2" priority="3">
      <formula>$C$348="tak"</formula>
    </cfRule>
    <cfRule type="expression" dxfId="1" priority="9">
      <formula>$C$348="nie"</formula>
    </cfRule>
  </conditionalFormatting>
  <conditionalFormatting sqref="E349">
    <cfRule type="expression" dxfId="0" priority="2">
      <formula>$C$349="tak"</formula>
    </cfRule>
  </conditionalFormatting>
  <dataValidations count="7">
    <dataValidation type="list" allowBlank="1" showInputMessage="1" showErrorMessage="1" sqref="C72:C73 C34:C35 C23:C26 C6:C9 C112 C163:C164 C177 C239 C269:C270 C302:C303 C310:C318 C325:C337 C342:C349" xr:uid="{2A37BA0F-2867-4AF4-823C-302C4111CDD2}">
      <formula1>$AA$3:$AA$5</formula1>
    </dataValidation>
    <dataValidation type="list" allowBlank="1" showInputMessage="1" showErrorMessage="1" sqref="C14:C18 C27:C28 C33 C41:C51 C74:C78 C57:C66 C113:C115 C120 C105:C111 C83:C100 C125:C134 C140:C157 C165:C169 C174:C176 C178:C181 C188:C193 C198:C203 C208:C212 C217:C230 C235:C238 C240:C243 C248 C250:C268 C275 C277:C301 C308 C323:C324" xr:uid="{CB71E553-CC86-45F4-9A55-E4FFB9F7C3E6}">
      <formula1>$AA$3:$AA$4</formula1>
    </dataValidation>
    <dataValidation type="list" allowBlank="1" showInputMessage="1" showErrorMessage="1" sqref="C36" xr:uid="{C7FF1D74-0D95-4E7B-B150-3B2099784C3F}">
      <formula1>$AC$3:$AC$7</formula1>
    </dataValidation>
    <dataValidation type="list" allowBlank="1" showInputMessage="1" showErrorMessage="1" sqref="C52" xr:uid="{DC5F31B8-D88F-4094-B73A-4F4076451944}">
      <formula1>$AC$51:$AC$54</formula1>
    </dataValidation>
    <dataValidation type="list" allowBlank="1" showInputMessage="1" showErrorMessage="1" sqref="C71 C162" xr:uid="{19CE87F1-42ED-421D-BDAE-D88C544235E8}">
      <formula1>$AC$70:$AC$71</formula1>
    </dataValidation>
    <dataValidation type="list" allowBlank="1" showInputMessage="1" showErrorMessage="1" sqref="C135" xr:uid="{9F371EF6-9D57-4CE6-86AC-8D51BBAC08E0}">
      <formula1>$AC$131:$AC$134</formula1>
    </dataValidation>
    <dataValidation type="list" allowBlank="1" showInputMessage="1" showErrorMessage="1" sqref="C182:C183" xr:uid="{EA447E9C-A28A-41AF-83CF-69ED786C0587}">
      <formula1>$AC$181:$AC$183</formula1>
    </dataValidation>
  </dataValidations>
  <pageMargins left="0.7" right="0.7" top="0.75" bottom="0.75" header="0.3" footer="0.3"/>
  <ignoredErrors>
    <ignoredError sqref="E9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kontrolna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kontrolna dostępności obiektu turystycznego</dc:title>
  <dc:creator>Paulina Tota-Stawarczyk</dc:creator>
  <cp:lastModifiedBy>Paulina Tota-Stawarczyk</cp:lastModifiedBy>
  <dcterms:created xsi:type="dcterms:W3CDTF">2024-11-26T13:59:57Z</dcterms:created>
  <dcterms:modified xsi:type="dcterms:W3CDTF">2024-12-19T13:03:37Z</dcterms:modified>
</cp:coreProperties>
</file>